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mc:AlternateContent xmlns:mc="http://schemas.openxmlformats.org/markup-compatibility/2006">
    <mc:Choice Requires="x15">
      <x15ac:absPath xmlns:x15ac="http://schemas.microsoft.com/office/spreadsheetml/2010/11/ac" url="/Users/sarahcarr/Documents/UNICEF - NYC/GAP Country Roadmaps_FINAL/DRC_FINAL/"/>
    </mc:Choice>
  </mc:AlternateContent>
  <xr:revisionPtr revIDLastSave="0" documentId="8_{DEDFE51D-8401-A249-9381-9A5B73B473D5}" xr6:coauthVersionLast="47" xr6:coauthVersionMax="47" xr10:uidLastSave="{00000000-0000-0000-0000-000000000000}"/>
  <bookViews>
    <workbookView xWindow="28860" yWindow="460" windowWidth="38340" windowHeight="21140" xr2:uid="{00000000-000D-0000-FFFF-FFFF00000000}"/>
  </bookViews>
  <sheets>
    <sheet name="Roadmap" sheetId="1" r:id="rId1"/>
    <sheet name="Budge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7" i="2" l="1"/>
  <c r="H87" i="2" s="1"/>
  <c r="I87" i="2" s="1"/>
  <c r="J87" i="2" s="1"/>
  <c r="H86" i="2"/>
  <c r="I86" i="2" s="1"/>
  <c r="J86" i="2" s="1"/>
  <c r="G86" i="2"/>
  <c r="G85" i="2"/>
  <c r="H85" i="2" s="1"/>
  <c r="I85" i="2" s="1"/>
  <c r="J85" i="2" s="1"/>
  <c r="H84" i="2"/>
  <c r="I84" i="2" s="1"/>
  <c r="J84" i="2" s="1"/>
  <c r="G84" i="2"/>
  <c r="G83" i="2"/>
  <c r="H83" i="2" s="1"/>
  <c r="I83" i="2" s="1"/>
  <c r="J83" i="2" s="1"/>
  <c r="H82" i="2"/>
  <c r="I82" i="2" s="1"/>
  <c r="J82" i="2" s="1"/>
  <c r="G82" i="2"/>
  <c r="G81" i="2"/>
  <c r="H81" i="2" s="1"/>
  <c r="I81" i="2" s="1"/>
  <c r="J81" i="2" s="1"/>
  <c r="H80" i="2"/>
  <c r="I80" i="2" s="1"/>
  <c r="J80" i="2" s="1"/>
  <c r="G80" i="2"/>
  <c r="E79" i="2"/>
  <c r="H79" i="2" s="1"/>
  <c r="I79" i="2" s="1"/>
  <c r="J79" i="2" s="1"/>
  <c r="E78" i="2"/>
  <c r="H78" i="2" s="1"/>
  <c r="I78" i="2" s="1"/>
  <c r="J78" i="2" s="1"/>
  <c r="E77" i="2"/>
  <c r="H77" i="2" s="1"/>
  <c r="I77" i="2" s="1"/>
  <c r="J77" i="2" s="1"/>
  <c r="E76" i="2"/>
  <c r="H76" i="2" s="1"/>
  <c r="H73" i="2"/>
  <c r="I73" i="2" s="1"/>
  <c r="J73" i="2" s="1"/>
  <c r="G72" i="2"/>
  <c r="H72" i="2" s="1"/>
  <c r="I72" i="2" s="1"/>
  <c r="J72" i="2" s="1"/>
  <c r="G71" i="2"/>
  <c r="H71" i="2" s="1"/>
  <c r="I71" i="2" s="1"/>
  <c r="J71" i="2" s="1"/>
  <c r="G70" i="2"/>
  <c r="H70" i="2" s="1"/>
  <c r="I70" i="2" s="1"/>
  <c r="J70" i="2" s="1"/>
  <c r="D70" i="2"/>
  <c r="G69" i="2"/>
  <c r="H69" i="2" s="1"/>
  <c r="I69" i="2" s="1"/>
  <c r="J69" i="2" s="1"/>
  <c r="G68" i="2"/>
  <c r="H68" i="2" s="1"/>
  <c r="I68" i="2" s="1"/>
  <c r="J68" i="2" s="1"/>
  <c r="G67" i="2"/>
  <c r="H67" i="2" s="1"/>
  <c r="I67" i="2" s="1"/>
  <c r="J67" i="2" s="1"/>
  <c r="G66" i="2"/>
  <c r="H66" i="2" s="1"/>
  <c r="I66" i="2" s="1"/>
  <c r="J66" i="2" s="1"/>
  <c r="H65" i="2"/>
  <c r="I65" i="2" s="1"/>
  <c r="J65" i="2" s="1"/>
  <c r="G64" i="2"/>
  <c r="H64" i="2" s="1"/>
  <c r="I64" i="2" s="1"/>
  <c r="J64" i="2" s="1"/>
  <c r="G63" i="2"/>
  <c r="H63" i="2" s="1"/>
  <c r="I63" i="2" s="1"/>
  <c r="J63" i="2" s="1"/>
  <c r="G62" i="2"/>
  <c r="H62" i="2" s="1"/>
  <c r="I62" i="2" s="1"/>
  <c r="J62" i="2" s="1"/>
  <c r="G61" i="2"/>
  <c r="H61" i="2" s="1"/>
  <c r="I61" i="2" s="1"/>
  <c r="J61" i="2" s="1"/>
  <c r="G60" i="2"/>
  <c r="H60" i="2" s="1"/>
  <c r="I60" i="2" s="1"/>
  <c r="J60" i="2" s="1"/>
  <c r="F59" i="2"/>
  <c r="H59" i="2" s="1"/>
  <c r="I59" i="2" s="1"/>
  <c r="J59" i="2" s="1"/>
  <c r="G58" i="2"/>
  <c r="H58" i="2" s="1"/>
  <c r="I58" i="2" s="1"/>
  <c r="J58" i="2" s="1"/>
  <c r="G57" i="2"/>
  <c r="H57" i="2" s="1"/>
  <c r="I57" i="2" s="1"/>
  <c r="J57" i="2" s="1"/>
  <c r="G56" i="2"/>
  <c r="H56" i="2" s="1"/>
  <c r="G53" i="2"/>
  <c r="H53" i="2" s="1"/>
  <c r="I53" i="2" s="1"/>
  <c r="J53" i="2" s="1"/>
  <c r="F53" i="2"/>
  <c r="G52" i="2"/>
  <c r="H52" i="2" s="1"/>
  <c r="I52" i="2" s="1"/>
  <c r="J52" i="2" s="1"/>
  <c r="F52" i="2"/>
  <c r="G51" i="2"/>
  <c r="H51" i="2" s="1"/>
  <c r="I51" i="2" s="1"/>
  <c r="J51" i="2" s="1"/>
  <c r="F51" i="2"/>
  <c r="G50" i="2"/>
  <c r="H50" i="2" s="1"/>
  <c r="I50" i="2" s="1"/>
  <c r="J50" i="2" s="1"/>
  <c r="F50" i="2"/>
  <c r="H49" i="2"/>
  <c r="I49" i="2" s="1"/>
  <c r="J49" i="2" s="1"/>
  <c r="G49" i="2"/>
  <c r="F49" i="2"/>
  <c r="H48" i="2"/>
  <c r="I48" i="2" s="1"/>
  <c r="J48" i="2" s="1"/>
  <c r="H47" i="2"/>
  <c r="I47" i="2" s="1"/>
  <c r="J47" i="2" s="1"/>
  <c r="G47" i="2"/>
  <c r="G46" i="2"/>
  <c r="H46" i="2" s="1"/>
  <c r="I46" i="2" s="1"/>
  <c r="J46" i="2" s="1"/>
  <c r="H45" i="2"/>
  <c r="I45" i="2" s="1"/>
  <c r="J45" i="2" s="1"/>
  <c r="G45" i="2"/>
  <c r="G44" i="2"/>
  <c r="H44" i="2" s="1"/>
  <c r="I44" i="2" s="1"/>
  <c r="J44" i="2" s="1"/>
  <c r="H43" i="2"/>
  <c r="I43" i="2" s="1"/>
  <c r="J43" i="2" s="1"/>
  <c r="G43" i="2"/>
  <c r="G42" i="2"/>
  <c r="H42" i="2" s="1"/>
  <c r="I42" i="2" s="1"/>
  <c r="J42" i="2" s="1"/>
  <c r="H41" i="2"/>
  <c r="I41" i="2" s="1"/>
  <c r="J41" i="2" s="1"/>
  <c r="G41" i="2"/>
  <c r="G40" i="2"/>
  <c r="H40" i="2" s="1"/>
  <c r="I40" i="2" s="1"/>
  <c r="J40" i="2" s="1"/>
  <c r="H39" i="2"/>
  <c r="I39" i="2" s="1"/>
  <c r="J39" i="2" s="1"/>
  <c r="G39" i="2"/>
  <c r="E38" i="2"/>
  <c r="H38" i="2" s="1"/>
  <c r="I38" i="2" s="1"/>
  <c r="J38" i="2" s="1"/>
  <c r="H37" i="2"/>
  <c r="I37" i="2" s="1"/>
  <c r="J37" i="2" s="1"/>
  <c r="G37" i="2"/>
  <c r="G36" i="2"/>
  <c r="H36" i="2" s="1"/>
  <c r="I36" i="2" s="1"/>
  <c r="J36" i="2" s="1"/>
  <c r="H35" i="2"/>
  <c r="G35" i="2"/>
  <c r="G32" i="2"/>
  <c r="H32" i="2" s="1"/>
  <c r="I32" i="2" s="1"/>
  <c r="J32" i="2" s="1"/>
  <c r="H31" i="2"/>
  <c r="I31" i="2" s="1"/>
  <c r="J31" i="2" s="1"/>
  <c r="G30" i="2"/>
  <c r="H30" i="2" s="1"/>
  <c r="I30" i="2" s="1"/>
  <c r="J30" i="2" s="1"/>
  <c r="G29" i="2"/>
  <c r="H29" i="2" s="1"/>
  <c r="I29" i="2" s="1"/>
  <c r="J29" i="2" s="1"/>
  <c r="G28" i="2"/>
  <c r="H28" i="2" s="1"/>
  <c r="I28" i="2" s="1"/>
  <c r="J28" i="2" s="1"/>
  <c r="G27" i="2"/>
  <c r="H27" i="2" s="1"/>
  <c r="I27" i="2" s="1"/>
  <c r="J27" i="2" s="1"/>
  <c r="G26" i="2"/>
  <c r="H26" i="2" s="1"/>
  <c r="I26" i="2" s="1"/>
  <c r="J26" i="2" s="1"/>
  <c r="H25" i="2"/>
  <c r="I25" i="2" s="1"/>
  <c r="J25" i="2" s="1"/>
  <c r="H24" i="2"/>
  <c r="I24" i="2" s="1"/>
  <c r="J24" i="2" s="1"/>
  <c r="H23" i="2"/>
  <c r="I23" i="2" s="1"/>
  <c r="J23" i="2" s="1"/>
  <c r="G23" i="2"/>
  <c r="G22" i="2"/>
  <c r="H22" i="2" s="1"/>
  <c r="I22" i="2" s="1"/>
  <c r="J22" i="2" s="1"/>
  <c r="H21" i="2"/>
  <c r="I21" i="2" s="1"/>
  <c r="J21" i="2" s="1"/>
  <c r="G21" i="2"/>
  <c r="G20" i="2"/>
  <c r="H20" i="2" s="1"/>
  <c r="I20" i="2" s="1"/>
  <c r="J20" i="2" s="1"/>
  <c r="H19" i="2"/>
  <c r="I19" i="2" s="1"/>
  <c r="J19" i="2" s="1"/>
  <c r="H18" i="2"/>
  <c r="I18" i="2" s="1"/>
  <c r="J18" i="2" s="1"/>
  <c r="G17" i="2"/>
  <c r="H17" i="2" s="1"/>
  <c r="I17" i="2" s="1"/>
  <c r="J17" i="2" s="1"/>
  <c r="G16" i="2"/>
  <c r="H16" i="2" s="1"/>
  <c r="I16" i="2" s="1"/>
  <c r="J16" i="2" s="1"/>
  <c r="F15" i="2"/>
  <c r="H15" i="2" s="1"/>
  <c r="I15" i="2" s="1"/>
  <c r="J15" i="2" s="1"/>
  <c r="G14" i="2"/>
  <c r="H14" i="2" s="1"/>
  <c r="I14" i="2" s="1"/>
  <c r="J14" i="2" s="1"/>
  <c r="F13" i="2"/>
  <c r="H13" i="2" s="1"/>
  <c r="I13" i="2" s="1"/>
  <c r="J13" i="2" s="1"/>
  <c r="G12" i="2"/>
  <c r="H12" i="2" s="1"/>
  <c r="I12" i="2" s="1"/>
  <c r="J12" i="2" s="1"/>
  <c r="F11" i="2"/>
  <c r="H11" i="2" s="1"/>
  <c r="I76" i="2" l="1"/>
  <c r="H88" i="2"/>
  <c r="H33" i="2"/>
  <c r="I11" i="2"/>
  <c r="H74" i="2"/>
  <c r="I56" i="2"/>
  <c r="H54" i="2"/>
  <c r="I35" i="2"/>
  <c r="J35" i="2" l="1"/>
  <c r="I54" i="2"/>
  <c r="J54" i="2" s="1"/>
  <c r="H89" i="2"/>
  <c r="I74" i="2"/>
  <c r="J74" i="2" s="1"/>
  <c r="J56" i="2"/>
  <c r="I33" i="2"/>
  <c r="J11" i="2"/>
  <c r="J76" i="2"/>
  <c r="I88" i="2"/>
  <c r="J88" i="2" s="1"/>
  <c r="I89" i="2" l="1"/>
  <c r="J89" i="2" s="1"/>
  <c r="J33" i="2"/>
  <c r="I44" i="1" l="1"/>
  <c r="I43" i="1"/>
  <c r="I42" i="1"/>
  <c r="I41" i="1"/>
  <c r="I40" i="1"/>
  <c r="I39" i="1"/>
  <c r="I38" i="1"/>
  <c r="I37" i="1"/>
  <c r="I36" i="1"/>
  <c r="I35" i="1"/>
  <c r="I34" i="1"/>
  <c r="I33" i="1"/>
  <c r="I32" i="1"/>
  <c r="I31" i="1"/>
  <c r="I30" i="1"/>
  <c r="I29" i="1"/>
  <c r="I28" i="1"/>
  <c r="I27" i="1"/>
  <c r="I26" i="1"/>
  <c r="I25" i="1"/>
  <c r="I24" i="1"/>
  <c r="I23" i="1"/>
  <c r="I22" i="1"/>
  <c r="I21" i="1"/>
  <c r="I20" i="1"/>
  <c r="I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tc={CA41AEAF-4B73-45C9-BC32-C5B235126F0C}</author>
  </authors>
  <commentList>
    <comment ref="D77"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@patrice.badibanga@wfp.org A reformuler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tc={1F767BBA-C933-0848-8ECD-66B33AD66686}</author>
    <author>tc={107D8E3B-CB67-4344-8973-A8005911A217}</author>
    <author>tc={67D993F0-8574-CD48-B488-B910B200DA90}</author>
    <author>tc={A5DEB08B-5785-5344-8182-968B3F2C644A}</author>
    <author>tc={0C516B62-CF7E-5448-ADD9-2C4979B3DA69}</author>
    <author>tc={380C6937-CB7A-4842-94FA-5FFC5D1F7489}</author>
    <author>tc={C5FF228A-D25E-0041-8319-D7A736B20EB0}</author>
    <author>tc={229C5942-A90E-B84A-AE4C-02E0106B5B95}</author>
    <author>tc={EDAD29E8-0BC2-CE46-BE4A-7233C41FCCA8}</author>
    <author>tc={D56AAFDD-EF1C-C946-AAC3-33BE5BF3D563}</author>
    <author>tc={8B88DE25-D13E-3344-872E-00489D576B8D}</author>
    <author>tc={C47D0BF6-3199-304F-A968-7050F903F609}</author>
    <author>tc={B2F1E683-7AAA-A548-A9CB-BA996AF4B055}</author>
    <author>tc={91B35C65-9CAA-B444-A15A-335D0393DB33}</author>
    <author>tc={F410D45B-A5DF-734B-9769-DA597CB856FE}</author>
    <author>tc={165F07E8-07E8-2040-A015-D22704D65A5A}</author>
    <author>tc={E6852BC5-6A66-8D49-9C28-08160D0666F5}</author>
    <author>tc={F2D6E6A1-3AF0-094D-B1F8-DE9360DA016C}</author>
    <author>tc={36FB0F3A-2736-8849-9C48-A8D52ABFA6B7}</author>
    <author>user</author>
    <author>tc={E16BD4F0-E1AA-2841-98CF-A2E0AA7777E2}</author>
    <author>tc={F6E69FFD-0D6D-7A41-9685-432528DDE560}</author>
    <author>tc={6FF7F66B-B68D-D442-8151-7AC6ACE0594D}</author>
    <author>tc={7F656266-6414-3449-A4FE-4BFC225082B2}</author>
    <author>tc={BE2CECCA-45FD-3548-B521-E359610C40FD}</author>
    <author>tc={C3CB5967-E9D1-5246-BAD6-EB737071CDCF}</author>
    <author>tc={30E4A921-4649-D945-B3C5-95C29A4FC5F5}</author>
    <author>tc={D39CECD0-E26A-C847-A7BE-C506CCC5C7B4}</author>
    <author>tc={34207554-395B-D848-97DC-26B2316E7629}</author>
    <author>tc={20910A5D-FB88-0D46-A182-719CD889F38A}</author>
    <author>tc={F32A7FFD-97E7-B045-B8E4-F06DA3CD46C0}</author>
    <author>tc={EF21850C-1995-A346-B966-5412C9B3B418}</author>
    <author>tc={B06DBC47-C5B9-B344-ADC3-E49A3DD06F72}</author>
    <author>tc={AA9FFF95-3697-2D40-A3E7-6DE71773D6D1}</author>
    <author>tc={6A95F3BE-C627-6542-992B-55E1D63B0558}</author>
    <author>tc={A8369EDA-9EE6-664E-BF98-ABF1193D3AD4}</author>
    <author>tc={E2C8970C-0739-3948-AD7C-120B5D9753F1}</author>
    <author>tc={820F6715-4B42-ED42-89E5-2492AE3FE9D2}</author>
    <author>tc={EC3B7DB1-1294-D24F-8B73-8E2BC6E168AE}</author>
    <author>tc={F811E245-B4EA-0E4F-ACF4-22BAB40054F1}</author>
    <author>tc={F4C7CB95-2231-6C41-86F2-B3C9E1E689BB}</author>
    <author>tc={8A7C7CF1-5AB3-E048-BBD3-96FF01D41EC0}</author>
    <author>tc={7A5062EE-644D-7D49-B1A7-B95120BFB83F}</author>
    <author>tc={0576D6D7-0DBE-2E48-A252-7CC53DDA14B2}</author>
    <author>tc={61E643BA-6A2D-964C-A383-ECF8F1AF533C}</author>
    <author>tc={225234B4-446D-6640-B76F-C873AA65469C}</author>
    <author>tc={49215229-88C4-484B-9AE8-151A7365BF2E}</author>
    <author>tc={127ADC25-B721-B147-AB2A-BFD9D54A2FE9}</author>
    <author>tc={308E81B3-CB02-0F4A-8E47-259DF110FC19}</author>
    <author>tc={15688659-0594-244E-AA70-15E34D42E8B8}</author>
    <author>tc={2F7B99A9-9052-EC4F-A9E9-E55E851E0B9B}</author>
    <author>tc={9250ACF3-0100-304A-AFCD-E6E286226995}</author>
    <author>tc={E3CA20B6-9A47-CE46-A50B-3AB7BE04B7E6}</author>
    <author>Omozekaze</author>
    <author>tc={A07E70D6-B10E-3D46-872A-BF6F7BA5B520}</author>
    <author>tc={30BD292A-B5CF-244B-ACDA-0AF213A7AD1F}</author>
    <author>tc={A161E411-8A40-B64D-85C8-300851AAFB51}</author>
    <author>tc={852DD306-1BC6-F84B-9155-9310342A380B}</author>
    <author>tc={DC8F3721-9ECE-0A4B-AA5E-84A4544DECB4}</author>
    <author>tc={C74F666F-FB17-C04C-8CFD-B71D9DBD3FA0}</author>
    <author>tc={40DB9C4B-50C6-BE46-A0F2-18826F995E0F}</author>
    <author>tc={6CFAF5D4-8A36-3E43-9661-ACC65DE1D1AE}</author>
  </authors>
  <commentList>
    <comment ref="G12" authorId="0" shapeId="0" xr:uid="{1F767BBA-C933-0848-8ECD-66B33AD66686}">
      <text>
        <t>[Threaded comment]
Your version of Excel allows you to read this threaded comment; however, any edits to it will get removed if the file is opened in a newer version of Excel. Learn more: https://go.microsoft.com/fwlink/?linkid=870924
Comment:
    le chiffre correspond au nombre d'adolescent à supplementer dans les écoles</t>
      </text>
    </comment>
    <comment ref="G14" authorId="1" shapeId="0" xr:uid="{107D8E3B-CB67-4344-8973-A8005911A217}">
      <text>
        <t>[Threaded comment]
Your version of Excel allows you to read this threaded comment; however, any edits to it will get removed if the file is opened in a newer version of Excel. Learn more: https://go.microsoft.com/fwlink/?linkid=870924
Comment:
    le chiffre correspond au nombre d'adolescent à supplementer dans les écoles</t>
      </text>
    </comment>
    <comment ref="G16" authorId="2" shapeId="0" xr:uid="{67D993F0-8574-CD48-B488-B910B200DA90}">
      <text>
        <t>[Threaded comment]
Your version of Excel allows you to read this threaded comment; however, any edits to it will get removed if the file is opened in a newer version of Excel. Learn more: https://go.microsoft.com/fwlink/?linkid=870924
Comment:
    c est le nombre d'espace de jeune</t>
      </text>
    </comment>
    <comment ref="G17" authorId="3" shapeId="0" xr:uid="{A5DEB08B-5785-5344-8182-968B3F2C644A}">
      <text>
        <t>[Threaded comment]
Your version of Excel allows you to read this threaded comment; however, any edits to it will get removed if the file is opened in a newer version of Excel. Learn more: https://go.microsoft.com/fwlink/?linkid=870924
Comment:
    c est le nombre d'espace de jeune</t>
      </text>
    </comment>
    <comment ref="G18" authorId="4" shapeId="0" xr:uid="{0C516B62-CF7E-5448-ADD9-2C4979B3DA69}">
      <text>
        <t>[Threaded comment]
Your version of Excel allows you to read this threaded comment; however, any edits to it will get removed if the file is opened in a newer version of Excel. Learn more: https://go.microsoft.com/fwlink/?linkid=870924
Comment:
    c est le nombre d'atelier pour l elaboration du plan strategique</t>
      </text>
    </comment>
    <comment ref="G19" authorId="5" shapeId="0" xr:uid="{380C6937-CB7A-4842-94FA-5FFC5D1F7489}">
      <text>
        <t>[Threaded comment]
Your version of Excel allows you to read this threaded comment; however, any edits to it will get removed if the file is opened in a newer version of Excel. Learn more: https://go.microsoft.com/fwlink/?linkid=870924
Comment:
    C'est le nombre de FEFA Seropositive</t>
      </text>
    </comment>
    <comment ref="G20" authorId="6" shapeId="0" xr:uid="{C5FF228A-D25E-0041-8319-D7A736B20EB0}">
      <text>
        <t>[Threaded comment]
Your version of Excel allows you to read this threaded comment; however, any edits to it will get removed if the file is opened in a newer version of Excel. Learn more: https://go.microsoft.com/fwlink/?linkid=870924
Comment:
    c'est le nombre de séance de vulgarisation des directives</t>
      </text>
    </comment>
    <comment ref="G21" authorId="7" shapeId="0" xr:uid="{229C5942-A90E-B84A-AE4C-02E0106B5B95}">
      <text>
        <t>[Threaded comment]
Your version of Excel allows you to read this threaded comment; however, any edits to it will get removed if the file is opened in a newer version of Excel. Learn more: https://go.microsoft.com/fwlink/?linkid=870924
Comment:
    c'est le nombre de séance de plaidoyer organisé auprès des bailleurs</t>
      </text>
    </comment>
    <comment ref="G22" authorId="8" shapeId="0" xr:uid="{EDAD29E8-0BC2-CE46-BE4A-7233C41FCCA8}">
      <text>
        <t>[Threaded comment]
Your version of Excel allows you to read this threaded comment; however, any edits to it will get removed if the file is opened in a newer version of Excel. Learn more: https://go.microsoft.com/fwlink/?linkid=870924
Comment:
    c'est le nombre de FEFA et adolescent</t>
      </text>
    </comment>
    <comment ref="G23" authorId="9" shapeId="0" xr:uid="{D56AAFDD-EF1C-C946-AAC3-33BE5BF3D563}">
      <text>
        <t>[Threaded comment]
Your version of Excel allows you to read this threaded comment; however, any edits to it will get removed if the file is opened in a newer version of Excel. Learn more: https://go.microsoft.com/fwlink/?linkid=870924
Comment:
    C 'est le nombre de microcredit accordé</t>
      </text>
    </comment>
    <comment ref="G24" authorId="10" shapeId="0" xr:uid="{8B88DE25-D13E-3344-872E-00489D576B8D}">
      <text>
        <t>[Threaded comment]
Your version of Excel allows you to read this threaded comment; however, any edits to it will get removed if the file is opened in a newer version of Excel. Learn more: https://go.microsoft.com/fwlink/?linkid=870924
Comment:
    Nombre d'atelier de redynamisation</t>
      </text>
    </comment>
    <comment ref="G25" authorId="11" shapeId="0" xr:uid="{C47D0BF6-3199-304F-A968-7050F903F609}">
      <text>
        <t>[Threaded comment]
Your version of Excel allows you to read this threaded comment; however, any edits to it will get removed if the file is opened in a newer version of Excel. Learn more: https://go.microsoft.com/fwlink/?linkid=870924
Comment:
    nombre de partenariat avec le secteur privé</t>
      </text>
    </comment>
    <comment ref="G26" authorId="12" shapeId="0" xr:uid="{B2F1E683-7AAA-A548-A9CB-BA996AF4B055}">
      <text>
        <t>[Threaded comment]
Your version of Excel allows you to read this threaded comment; however, any edits to it will get removed if the file is opened in a newer version of Excel. Learn more: https://go.microsoft.com/fwlink/?linkid=870924
Comment:
    nombre d'entreprise de transformation des produits agricoles</t>
      </text>
    </comment>
    <comment ref="G27" authorId="13" shapeId="0" xr:uid="{91B35C65-9CAA-B444-A15A-335D0393DB33}">
      <text>
        <t>[Threaded comment]
Your version of Excel allows you to read this threaded comment; however, any edits to it will get removed if the file is opened in a newer version of Excel. Learn more: https://go.microsoft.com/fwlink/?linkid=870924
Comment:
    nombre nombre d'adolescent, fille et FEFA recevant les semences bio fortifiées</t>
      </text>
    </comment>
    <comment ref="G28" authorId="14" shapeId="0" xr:uid="{F410D45B-A5DF-734B-9769-DA597CB856FE}">
      <text>
        <t>[Threaded comment]
Your version of Excel allows you to read this threaded comment; however, any edits to it will get removed if the file is opened in a newer version of Excel. Learn more: https://go.microsoft.com/fwlink/?linkid=870924
Comment:
    nombre d'adolescent, fille et FEFA</t>
      </text>
    </comment>
    <comment ref="G29" authorId="15" shapeId="0" xr:uid="{165F07E8-07E8-2040-A015-D22704D65A5A}">
      <text>
        <t>[Threaded comment]
Your version of Excel allows you to read this threaded comment; however, any edits to it will get removed if the file is opened in a newer version of Excel. Learn more: https://go.microsoft.com/fwlink/?linkid=870924
Comment:
    Nombre d'école</t>
      </text>
    </comment>
    <comment ref="G30" authorId="16" shapeId="0" xr:uid="{E6852BC5-6A66-8D49-9C28-08160D0666F5}">
      <text>
        <t>[Threaded comment]
Your version of Excel allows you to read this threaded comment; however, any edits to it will get removed if the file is opened in a newer version of Excel. Learn more: https://go.microsoft.com/fwlink/?linkid=870924
Comment:
    nombre d'école</t>
      </text>
    </comment>
    <comment ref="G31" authorId="17" shapeId="0" xr:uid="{F2D6E6A1-3AF0-094D-B1F8-DE9360DA016C}">
      <text>
        <t>[Threaded comment]
Your version of Excel allows you to read this threaded comment; however, any edits to it will get removed if the file is opened in a newer version of Excel. Learn more: https://go.microsoft.com/fwlink/?linkid=870924
Comment:
    nombre de ministere ayant intégré le nutrition dans leur plan sectoriel</t>
      </text>
    </comment>
    <comment ref="G32" authorId="18" shapeId="0" xr:uid="{36FB0F3A-2736-8849-9C48-A8D52ABFA6B7}">
      <text>
        <t>[Threaded comment]
Your version of Excel allows you to read this threaded comment; however, any edits to it will get removed if the file is opened in a newer version of Excel. Learn more: https://go.microsoft.com/fwlink/?linkid=870924
Comment:
    nombre de ménage</t>
      </text>
    </comment>
    <comment ref="B35" authorId="19" shapeId="0" xr:uid="{D3A183C7-1D50-C44F-A8D3-9CA32C4B4B32}">
      <text>
        <r>
          <rPr>
            <b/>
            <sz val="9"/>
            <color indexed="81"/>
            <rFont val="Tahoma"/>
            <family val="2"/>
          </rPr>
          <t>user:</t>
        </r>
        <r>
          <rPr>
            <sz val="9"/>
            <color indexed="81"/>
            <rFont val="Tahoma"/>
            <family val="2"/>
          </rPr>
          <t xml:space="preserve">
Ici il s'agit d'organiser de session de plaidoyer:
1° auprès du Gouvernement central et du parlement (Assemblée nationale et SENAT)
2°Auprès des gouvernements provinciaux et des Assemblées  provinciales
3° Auprès des ETD (Mairies, secteurs, etc)
</t>
        </r>
      </text>
    </comment>
    <comment ref="G35" authorId="20" shapeId="0" xr:uid="{E16BD4F0-E1AA-2841-98CF-A2E0AA7777E2}">
      <text>
        <t>[Threaded comment]
Your version of Excel allows you to read this threaded comment; however, any edits to it will get removed if the file is opened in a newer version of Excel. Learn more: https://go.microsoft.com/fwlink/?linkid=870924
Comment:
    Nombre de séance de plaidoyer</t>
      </text>
    </comment>
    <comment ref="G36" authorId="21" shapeId="0" xr:uid="{F6E69FFD-0D6D-7A41-9685-432528DDE560}">
      <text>
        <t>[Threaded comment]
Your version of Excel allows you to read this threaded comment; however, any edits to it will get removed if the file is opened in a newer version of Excel. Learn more: https://go.microsoft.com/fwlink/?linkid=870924
Comment:
    Nombre de séance de plaidoyer</t>
      </text>
    </comment>
    <comment ref="G37" authorId="22" shapeId="0" xr:uid="{6FF7F66B-B68D-D442-8151-7AC6ACE0594D}">
      <text>
        <t>[Threaded comment]
Your version of Excel allows you to read this threaded comment; however, any edits to it will get removed if the file is opened in a newer version of Excel. Learn more: https://go.microsoft.com/fwlink/?linkid=870924
Comment:
    Nombre de séance de plaidoyer</t>
      </text>
    </comment>
    <comment ref="G39" authorId="23" shapeId="0" xr:uid="{7F656266-6414-3449-A4FE-4BFC225082B2}">
      <text>
        <t>[Threaded comment]
Your version of Excel allows you to read this threaded comment; however, any edits to it will get removed if the file is opened in a newer version of Excel. Learn more: https://go.microsoft.com/fwlink/?linkid=870924
Comment:
    Nombre d'OCC appuye</t>
      </text>
    </comment>
    <comment ref="G40" authorId="24" shapeId="0" xr:uid="{BE2CECCA-45FD-3548-B521-E359610C40FD}">
      <text>
        <t>[Threaded comment]
Your version of Excel allows you to read this threaded comment; however, any edits to it will get removed if the file is opened in a newer version of Excel. Learn more: https://go.microsoft.com/fwlink/?linkid=870924
Comment:
    nombre d acteur dont les capacités sont renforcées</t>
      </text>
    </comment>
    <comment ref="G41" authorId="25" shapeId="0" xr:uid="{C3CB5967-E9D1-5246-BAD6-EB737071CDCF}">
      <text>
        <t>[Threaded comment]
Your version of Excel allows you to read this threaded comment; however, any edits to it will get removed if the file is opened in a newer version of Excel. Learn more: https://go.microsoft.com/fwlink/?linkid=870924
Comment:
    nombre d acteur dont les capacités sont renforcées</t>
      </text>
    </comment>
    <comment ref="G42" authorId="26" shapeId="0" xr:uid="{30E4A921-4649-D945-B3C5-95C29A4FC5F5}">
      <text>
        <t>[Threaded comment]
Your version of Excel allows you to read this threaded comment; however, any edits to it will get removed if the file is opened in a newer version of Excel. Learn more: https://go.microsoft.com/fwlink/?linkid=870924
Comment:
    Nombre de centre de multiplication des géiteurs réhabilités et fonctionnels</t>
      </text>
    </comment>
    <comment ref="G43" authorId="27" shapeId="0" xr:uid="{D39CECD0-E26A-C847-A7BE-C506CCC5C7B4}">
      <text>
        <t>[Threaded comment]
Your version of Excel allows you to read this threaded comment; however, any edits to it will get removed if the file is opened in a newer version of Excel. Learn more: https://go.microsoft.com/fwlink/?linkid=870924
Comment:
    nombre de seance d'adoption et vulgarisation du cadre juridique</t>
      </text>
    </comment>
    <comment ref="G44" authorId="28" shapeId="0" xr:uid="{34207554-395B-D848-97DC-26B2316E7629}">
      <text>
        <t>[Threaded comment]
Your version of Excel allows you to read this threaded comment; however, any edits to it will get removed if the file is opened in a newer version of Excel. Learn more: https://go.microsoft.com/fwlink/?linkid=870924
Comment:
    nombre de seance de plaidoyer</t>
      </text>
    </comment>
    <comment ref="G45" authorId="29" shapeId="0" xr:uid="{20910A5D-FB88-0D46-A182-719CD889F38A}">
      <text>
        <t>[Threaded comment]
Your version of Excel allows you to read this threaded comment; however, any edits to it will get removed if the file is opened in a newer version of Excel. Learn more: https://go.microsoft.com/fwlink/?linkid=870924
Comment:
    nombre de seance de plaidoyer</t>
      </text>
    </comment>
    <comment ref="G46" authorId="30" shapeId="0" xr:uid="{F32A7FFD-97E7-B045-B8E4-F06DA3CD46C0}">
      <text>
        <t>[Threaded comment]
Your version of Excel allows you to read this threaded comment; however, any edits to it will get removed if the file is opened in a newer version of Excel. Learn more: https://go.microsoft.com/fwlink/?linkid=870924
Comment:
    nombre de seance de plaidoyer</t>
      </text>
    </comment>
    <comment ref="G48" authorId="31" shapeId="0" xr:uid="{EF21850C-1995-A346-B966-5412C9B3B418}">
      <text>
        <t>[Threaded comment]
Your version of Excel allows you to read this threaded comment; however, any edits to it will get removed if the file is opened in a newer version of Excel. Learn more: https://go.microsoft.com/fwlink/?linkid=870924
Comment:
    nombre publication sur la recherche agronomique réalisée</t>
      </text>
    </comment>
    <comment ref="G49" authorId="32" shapeId="0" xr:uid="{B06DBC47-C5B9-B344-ADC3-E49A3DD06F72}">
      <text>
        <t>[Threaded comment]
Your version of Excel allows you to read this threaded comment; however, any edits to it will get removed if the file is opened in a newer version of Excel. Learn more: https://go.microsoft.com/fwlink/?linkid=870924
Comment:
    nombre d adolescent</t>
      </text>
    </comment>
    <comment ref="G50" authorId="33" shapeId="0" xr:uid="{AA9FFF95-3697-2D40-A3E7-6DE71773D6D1}">
      <text>
        <t>[Threaded comment]
Your version of Excel allows you to read this threaded comment; however, any edits to it will get removed if the file is opened in a newer version of Excel. Learn more: https://go.microsoft.com/fwlink/?linkid=870924
Comment:
    nombre d'adolescent</t>
      </text>
    </comment>
    <comment ref="G51" authorId="34" shapeId="0" xr:uid="{6A95F3BE-C627-6542-992B-55E1D63B0558}">
      <text>
        <t>[Threaded comment]
Your version of Excel allows you to read this threaded comment; however, any edits to it will get removed if the file is opened in a newer version of Excel. Learn more: https://go.microsoft.com/fwlink/?linkid=870924
Comment:
    nombre d'adolescent</t>
      </text>
    </comment>
    <comment ref="G52" authorId="35" shapeId="0" xr:uid="{A8369EDA-9EE6-664E-BF98-ABF1193D3AD4}">
      <text>
        <t>[Threaded comment]
Your version of Excel allows you to read this threaded comment; however, any edits to it will get removed if the file is opened in a newer version of Excel. Learn more: https://go.microsoft.com/fwlink/?linkid=870924
Comment:
    nombre d'adolescent</t>
      </text>
    </comment>
    <comment ref="G53" authorId="36" shapeId="0" xr:uid="{E2C8970C-0739-3948-AD7C-120B5D9753F1}">
      <text>
        <t>[Threaded comment]
Your version of Excel allows you to read this threaded comment; however, any edits to it will get removed if the file is opened in a newer version of Excel. Learn more: https://go.microsoft.com/fwlink/?linkid=870924
Comment:
    nombre d'adolescent</t>
      </text>
    </comment>
    <comment ref="G56" authorId="37" shapeId="0" xr:uid="{820F6715-4B42-ED42-89E5-2492AE3FE9D2}">
      <text>
        <t>[Threaded comment]
Your version of Excel allows you to read this threaded comment; however, any edits to it will get removed if the file is opened in a newer version of Excel. Learn more: https://go.microsoft.com/fwlink/?linkid=870924
Comment:
    nombre de zone de santé</t>
      </text>
    </comment>
    <comment ref="G57" authorId="38" shapeId="0" xr:uid="{EC3B7DB1-1294-D24F-8B73-8E2BC6E168AE}">
      <text>
        <t>[Threaded comment]
Your version of Excel allows you to read this threaded comment; however, any edits to it will get removed if the file is opened in a newer version of Excel. Learn more: https://go.microsoft.com/fwlink/?linkid=870924
Comment:
    nombre de séance du plaidoyer</t>
      </text>
    </comment>
    <comment ref="G58" authorId="39" shapeId="0" xr:uid="{F811E245-B4EA-0E4F-ACF4-22BAB40054F1}">
      <text>
        <t>[Threaded comment]
Your version of Excel allows you to read this threaded comment; however, any edits to it will get removed if the file is opened in a newer version of Excel. Learn more: https://go.microsoft.com/fwlink/?linkid=870924
Comment:
    nombre de seéance de vulgarisation par ZS</t>
      </text>
    </comment>
    <comment ref="G60" authorId="40" shapeId="0" xr:uid="{F4C7CB95-2231-6C41-86F2-B3C9E1E689BB}">
      <text>
        <t>[Threaded comment]
Your version of Excel allows you to read this threaded comment; however, any edits to it will get removed if the file is opened in a newer version of Excel. Learn more: https://go.microsoft.com/fwlink/?linkid=870924
Comment:
    nombre de séance de vulgarisation</t>
      </text>
    </comment>
    <comment ref="G61" authorId="41" shapeId="0" xr:uid="{8A7C7CF1-5AB3-E048-BBD3-96FF01D41EC0}">
      <text>
        <t>[Threaded comment]
Your version of Excel allows you to read this threaded comment; however, any edits to it will get removed if the file is opened in a newer version of Excel. Learn more: https://go.microsoft.com/fwlink/?linkid=870924
Comment:
    nombre de centre d' éveil par ZS</t>
      </text>
    </comment>
    <comment ref="G62" authorId="42" shapeId="0" xr:uid="{7A5062EE-644D-7D49-B1A7-B95120BFB83F}">
      <text>
        <t>[Threaded comment]
Your version of Excel allows you to read this threaded comment; however, any edits to it will get removed if the file is opened in a newer version of Excel. Learn more: https://go.microsoft.com/fwlink/?linkid=870924
Comment:
    Nombre de prestataire et acteur communautaire formé</t>
      </text>
    </comment>
    <comment ref="G63" authorId="43" shapeId="0" xr:uid="{0576D6D7-0DBE-2E48-A252-7CC53DDA14B2}">
      <text>
        <t>[Threaded comment]
Your version of Excel allows you to read this threaded comment; however, any edits to it will get removed if the file is opened in a newer version of Excel. Learn more: https://go.microsoft.com/fwlink/?linkid=870924
Comment:
    nombre de seance de vulgarisation du cadre juridique</t>
      </text>
    </comment>
    <comment ref="G64" authorId="44" shapeId="0" xr:uid="{61E643BA-6A2D-964C-A383-ECF8F1AF533C}">
      <text>
        <t>[Threaded comment]
Your version of Excel allows you to read this threaded comment; however, any edits to it will get removed if the file is opened in a newer version of Excel. Learn more: https://go.microsoft.com/fwlink/?linkid=870924
Comment:
    nombre de séance de plaidoyer pour la redynamisation</t>
      </text>
    </comment>
    <comment ref="G65" authorId="45" shapeId="0" xr:uid="{225234B4-446D-6640-B76F-C873AA65469C}">
      <text>
        <t>[Threaded comment]
Your version of Excel allows you to read this threaded comment; however, any edits to it will get removed if the file is opened in a newer version of Excel. Learn more: https://go.microsoft.com/fwlink/?linkid=870924
Comment:
    nombre d'atelierpour l actualisation du plan stratégique</t>
      </text>
    </comment>
    <comment ref="G66" authorId="46" shapeId="0" xr:uid="{49215229-88C4-484B-9AE8-151A7365BF2E}">
      <text>
        <t>[Threaded comment]
Your version of Excel allows you to read this threaded comment; however, any edits to it will get removed if the file is opened in a newer version of Excel. Learn more: https://go.microsoft.com/fwlink/?linkid=870924
Comment:
    nombre de petit fermiers forme et recevant les intrants</t>
      </text>
    </comment>
    <comment ref="G67" authorId="47" shapeId="0" xr:uid="{127ADC25-B721-B147-AB2A-BFD9D54A2FE9}">
      <text>
        <t>[Threaded comment]
Your version of Excel allows you to read this threaded comment; however, any edits to it will get removed if the file is opened in a newer version of Excel. Learn more: https://go.microsoft.com/fwlink/?linkid=870924
Comment:
    nombre de petit fermier sensibilisé</t>
      </text>
    </comment>
    <comment ref="G68" authorId="48" shapeId="0" xr:uid="{308E81B3-CB02-0F4A-8E47-259DF110FC19}">
      <text>
        <t>[Threaded comment]
Your version of Excel allows you to read this threaded comment; however, any edits to it will get removed if the file is opened in a newer version of Excel. Learn more: https://go.microsoft.com/fwlink/?linkid=870924
Comment:
    nombre de ménage recevant les intrants</t>
      </text>
    </comment>
    <comment ref="G69" authorId="49" shapeId="0" xr:uid="{15688659-0594-244E-AA70-15E34D42E8B8}">
      <text>
        <t>[Threaded comment]
Your version of Excel allows you to read this threaded comment; however, any edits to it will get removed if the file is opened in a newer version of Excel. Learn more: https://go.microsoft.com/fwlink/?linkid=870924
Comment:
    nombre de jardin communautaire</t>
      </text>
    </comment>
    <comment ref="G70" authorId="50" shapeId="0" xr:uid="{2F7B99A9-9052-EC4F-A9E9-E55E851E0B9B}">
      <text>
        <t>[Threaded comment]
Your version of Excel allows you to read this threaded comment; however, any edits to it will get removed if the file is opened in a newer version of Excel. Learn more: https://go.microsoft.com/fwlink/?linkid=870924
Comment:
    nombre de FEFA</t>
      </text>
    </comment>
    <comment ref="G71" authorId="51" shapeId="0" xr:uid="{9250ACF3-0100-304A-AFCD-E6E286226995}">
      <text>
        <t>[Threaded comment]
Your version of Excel allows you to read this threaded comment; however, any edits to it will get removed if the file is opened in a newer version of Excel. Learn more: https://go.microsoft.com/fwlink/?linkid=870924
Comment:
    Nombre de ménage</t>
      </text>
    </comment>
    <comment ref="G72" authorId="52" shapeId="0" xr:uid="{E3CA20B6-9A47-CE46-A50B-3AB7BE04B7E6}">
      <text>
        <t>[Threaded comment]
Your version of Excel allows you to read this threaded comment; however, any edits to it will get removed if the file is opened in a newer version of Excel. Learn more: https://go.microsoft.com/fwlink/?linkid=870924
Comment:
    nombre de ménage ayant adhéré à la Mutuelle de santé</t>
      </text>
    </comment>
    <comment ref="H73" authorId="53" shapeId="0" xr:uid="{DC1CA1AC-A24B-A64A-9977-859186E07067}">
      <text>
        <r>
          <rPr>
            <b/>
            <sz val="9"/>
            <color rgb="FF000000"/>
            <rFont val="Tahoma"/>
            <family val="2"/>
          </rPr>
          <t>Omozekaze:</t>
        </r>
        <r>
          <rPr>
            <sz val="9"/>
            <color rgb="FF000000"/>
            <rFont val="Tahoma"/>
            <family val="2"/>
          </rPr>
          <t xml:space="preserve">
</t>
        </r>
        <r>
          <rPr>
            <sz val="9"/>
            <color rgb="FF000000"/>
            <rFont val="Tahoma"/>
            <family val="2"/>
          </rPr>
          <t xml:space="preserve">10$ en espece et 10$  en nature </t>
        </r>
      </text>
    </comment>
    <comment ref="G80" authorId="54" shapeId="0" xr:uid="{A07E70D6-B10E-3D46-872A-BF6F7BA5B520}">
      <text>
        <t>[Threaded comment]
Your version of Excel allows you to read this threaded comment; however, any edits to it will get removed if the file is opened in a newer version of Excel. Learn more: https://go.microsoft.com/fwlink/?linkid=870924
Comment:
    NOMBRE d'atelier d'intergration organisé</t>
      </text>
    </comment>
    <comment ref="G81" authorId="55" shapeId="0" xr:uid="{30BD292A-B5CF-244B-ACDA-0AF213A7AD1F}">
      <text>
        <t>[Threaded comment]
Your version of Excel allows you to read this threaded comment; however, any edits to it will get removed if the file is opened in a newer version of Excel. Learn more: https://go.microsoft.com/fwlink/?linkid=870924
Comment:
    nombre de centre de santé ravitaillé selin la chaine d'approvissionnement des médicaments</t>
      </text>
    </comment>
    <comment ref="G82" authorId="56" shapeId="0" xr:uid="{A161E411-8A40-B64D-85C8-300851AAFB51}">
      <text>
        <t>[Threaded comment]
Your version of Excel allows you to read this threaded comment; however, any edits to it will get removed if the file is opened in a newer version of Excel. Learn more: https://go.microsoft.com/fwlink/?linkid=870924
Comment:
    nombre de site SNSAP renforce</t>
      </text>
    </comment>
    <comment ref="G83" authorId="57" shapeId="0" xr:uid="{852DD306-1BC6-F84B-9155-9310342A380B}">
      <text>
        <t>[Threaded comment]
Your version of Excel allows you to read this threaded comment; however, any edits to it will get removed if the file is opened in a newer version of Excel. Learn more: https://go.microsoft.com/fwlink/?linkid=870924
Comment:
    nombre d'enquête SMART SENS réalisée</t>
      </text>
    </comment>
    <comment ref="G84" authorId="58" shapeId="0" xr:uid="{DC8F3721-9ECE-0A4B-AA5E-84A4544DECB4}">
      <text>
        <t>[Threaded comment]
Your version of Excel allows you to read this threaded comment; however, any edits to it will get removed if the file is opened in a newer version of Excel. Learn more: https://go.microsoft.com/fwlink/?linkid=870924
Comment:
    nombre de centre de santé ravitaillé selin la chaine d'approvissionnement des médicaments</t>
      </text>
    </comment>
    <comment ref="G85" authorId="59" shapeId="0" xr:uid="{C74F666F-FB17-C04C-8CFD-B71D9DBD3FA0}">
      <text>
        <t>[Threaded comment]
Your version of Excel allows you to read this threaded comment; however, any edits to it will get removed if the file is opened in a newer version of Excel. Learn more: https://go.microsoft.com/fwlink/?linkid=870924
Comment:
    nombre de centre de santé respectant les normes d'assurance qualité</t>
      </text>
    </comment>
    <comment ref="G86" authorId="60" shapeId="0" xr:uid="{40DB9C4B-50C6-BE46-A0F2-18826F995E0F}">
      <text>
        <t>[Threaded comment]
Your version of Excel allows you to read this threaded comment; however, any edits to it will get removed if the file is opened in a newer version of Excel. Learn more: https://go.microsoft.com/fwlink/?linkid=870924
Comment:
    Nombre de ménage</t>
      </text>
    </comment>
    <comment ref="G87" authorId="61" shapeId="0" xr:uid="{6CFAF5D4-8A36-3E43-9661-ACC65DE1D1AE}">
      <text>
        <t>[Threaded comment]
Your version of Excel allows you to read this threaded comment; however, any edits to it will get removed if the file is opened in a newer version of Excel. Learn more: https://go.microsoft.com/fwlink/?linkid=870924
Comment:
    Nombre d'adolescent</t>
      </text>
    </comment>
  </commentList>
</comments>
</file>

<file path=xl/sharedStrings.xml><?xml version="1.0" encoding="utf-8"?>
<sst xmlns="http://schemas.openxmlformats.org/spreadsheetml/2006/main" count="562" uniqueCount="376">
  <si>
    <t>GLOBAL ACTION PLAN ON CHILD WASTING</t>
  </si>
  <si>
    <t>Country Operational Roadmap</t>
  </si>
  <si>
    <t>DEMOCRATIC REPUBLIC OF CONGO</t>
  </si>
  <si>
    <t>CHILD WASTING:  GLOBAL TARGETS AND NATIONAL PREVALENCE</t>
  </si>
  <si>
    <t>Global Target (2030)</t>
  </si>
  <si>
    <t>By 2030, reduce wasting prevalence to less than 3%</t>
  </si>
  <si>
    <t>Global Target (2025)</t>
  </si>
  <si>
    <t>Current National Prevalence (2020)</t>
  </si>
  <si>
    <t>6,5 %   (MICS-Palu RDC, 2017-2018)</t>
  </si>
  <si>
    <t xml:space="preserve">CHILD WASTING:  A NATIONAL AND SUB-NATIONAL SNAPSHOT </t>
  </si>
  <si>
    <t>National</t>
  </si>
  <si>
    <t>Sub-National 
(Second Tier Administrative Boundaries)</t>
  </si>
  <si>
    <t>Wasting Prevalence</t>
  </si>
  <si>
    <t xml:space="preserve">2025 Target (5%)
</t>
  </si>
  <si>
    <t>MAG(%)</t>
  </si>
  <si>
    <t>MAM(%)</t>
  </si>
  <si>
    <t>MAS(%)</t>
  </si>
  <si>
    <t>MAG</t>
  </si>
  <si>
    <t>MAM</t>
  </si>
  <si>
    <t>MAS</t>
  </si>
  <si>
    <t>Nord Ubangi</t>
  </si>
  <si>
    <t>Ituri</t>
  </si>
  <si>
    <t>Haut Uele</t>
  </si>
  <si>
    <t>Kwilu</t>
  </si>
  <si>
    <t>Kongo Central</t>
  </si>
  <si>
    <t>Équateur</t>
  </si>
  <si>
    <t>Tshuapa</t>
  </si>
  <si>
    <t>Sankuru</t>
  </si>
  <si>
    <t>Lomami</t>
  </si>
  <si>
    <t>Lualaba</t>
  </si>
  <si>
    <t>Mongala</t>
  </si>
  <si>
    <t>Bas Uele</t>
  </si>
  <si>
    <t>Nord Kivu</t>
  </si>
  <si>
    <t>Haut Lomami</t>
  </si>
  <si>
    <t>Kwango</t>
  </si>
  <si>
    <t>Tanganyika</t>
  </si>
  <si>
    <t>Kasai Oriental</t>
  </si>
  <si>
    <t>Maniema</t>
  </si>
  <si>
    <t>Kasai</t>
  </si>
  <si>
    <t>Kasai Central</t>
  </si>
  <si>
    <t>Kinshasa</t>
  </si>
  <si>
    <t>Tshopo</t>
  </si>
  <si>
    <t>Haut Katanga</t>
  </si>
  <si>
    <t>Maidombe</t>
  </si>
  <si>
    <t>Sud Ubangi</t>
  </si>
  <si>
    <t>Sud Kivu</t>
  </si>
  <si>
    <t>Etc.</t>
  </si>
  <si>
    <t>BACKGROUND</t>
  </si>
  <si>
    <t>GEOGRAPHIC PRIORITY AREAS</t>
  </si>
  <si>
    <t>OUTCOME 1. REDUCED LOW BIRTHWEIGHT BY IMPROVING MATERNAL NUTRITION</t>
  </si>
  <si>
    <t>By 2025, reduce low birthweight by 30%</t>
  </si>
  <si>
    <t>National Target (2025)</t>
  </si>
  <si>
    <t xml:space="preserve"> réduire l’insuffisance pondérale de 30 % (RDC target 5%)</t>
  </si>
  <si>
    <t>7,1%</t>
  </si>
  <si>
    <t>OUTCOME 1:  OPERATIONAL FRAMEWORK</t>
  </si>
  <si>
    <t>System</t>
  </si>
  <si>
    <t>National Policy Commitment</t>
  </si>
  <si>
    <t>Operational Accelerator for: 
[Name of sub-national area]</t>
  </si>
  <si>
    <t>Stakeholder Support</t>
  </si>
  <si>
    <t>Intervention</t>
  </si>
  <si>
    <t>Delivery Platform</t>
  </si>
  <si>
    <t>Target Population</t>
  </si>
  <si>
    <t>Responsible</t>
  </si>
  <si>
    <t>Non-Government Support 
(e.g., UN Agencies, Civil Society, Donors, Academics)</t>
  </si>
  <si>
    <t>Describe the system-specific policy commitment to achieve the national target (include source)</t>
  </si>
  <si>
    <t>Describe the activity or programmatic measure to accelerate progress towards the national commitment</t>
  </si>
  <si>
    <t>Describe the structure for service delivery</t>
  </si>
  <si>
    <t>Describe the group of individuals that the intervention intends to cover</t>
  </si>
  <si>
    <t>At the Government Level, name who is responsible for this intervention and what is their commitment.</t>
  </si>
  <si>
    <t>Describe the support needed from UN agency(s), civil society (NGOs, community groups charitable groups, foundations, etc.), donors and academics to implement the intervention and their commitment to achieve targets.</t>
  </si>
  <si>
    <t>SANTE</t>
  </si>
  <si>
    <t xml:space="preserve">Renforcer la supplementation en fer folate pour les FEFA et les adolescentes </t>
  </si>
  <si>
    <t>Hopital</t>
  </si>
  <si>
    <t xml:space="preserve">Les femmes enceintes </t>
  </si>
  <si>
    <t>PRONANUT:Coordination, support en ressources humaine</t>
  </si>
  <si>
    <t>UNICEF: support technique, financier et approvisionnement en molécule de supplémentation , ONG: mise en œuvre, suivi et évaluation</t>
  </si>
  <si>
    <t>Hopital, Centre de santé, Communauté</t>
  </si>
  <si>
    <t xml:space="preserve">femme enceinte, femme en âge de procreer, Adolescentes </t>
  </si>
  <si>
    <t xml:space="preserve">UNICEF: support technique, financier et approvisionnement en molécule de supplémentation,ONG: mise en œuvre, suivi et évaluation </t>
  </si>
  <si>
    <t xml:space="preserve">Appuyer les espaces de jeunes qui prennent en compte la planification familiale et les competences de vie courantes. 
Promouvoir l'utilisation des services de santé reproductive,
Appui à l'élaboration du Plan Stratégique de santé et bien-être des adolescents et jeunes,
Intégration de la PFPP dans le curriculum de formation des sages-femmes </t>
  </si>
  <si>
    <t>femme enceinte et allaitante 
Eleves
Adolecsents</t>
  </si>
  <si>
    <t>OMS: appui technique, financier et approvisionnement</t>
  </si>
  <si>
    <t>Ministère de la santé</t>
  </si>
  <si>
    <t>Staff, du PRONANUT</t>
  </si>
  <si>
    <t xml:space="preserve">PAM: appui technique, financier </t>
  </si>
  <si>
    <t>Food</t>
  </si>
  <si>
    <t>Ministere de l'Agriculture, et du Developpement Rural</t>
  </si>
  <si>
    <t>staff ministère de l'agriculture</t>
  </si>
  <si>
    <t>Ministere de l'Agriculture, Ministere de la Santé et du Developpement Rural:Coordination, support en ressources humaine</t>
  </si>
  <si>
    <t>PAM: appui technique, financier , ONG: mise en œuvre, suivi et évaluation</t>
  </si>
  <si>
    <t xml:space="preserve">
Appuyer les programme de diversification alimentaire, ciblant les femmes enceintes, allaitantes et adolescentes</t>
  </si>
  <si>
    <t>Club Dimitra, Organisation Paysane, Champs Ecole Paysan, atravers ses activités des CEP, Club Dimitra, OP etc</t>
  </si>
  <si>
    <t xml:space="preserve">Femmes enceintes et Allaitantes </t>
  </si>
  <si>
    <t>Ministere de l'Agriculture, Ministere de la Santé:Coordination, support en ressources humaine</t>
  </si>
  <si>
    <t>PAM et FAO: appui technique, financier , ONG: mise en œuvre, suivi et évaluation</t>
  </si>
  <si>
    <t xml:space="preserve">
Promouvoir la pisciculture familiale et les petites et moyennes entreprises agricoles: production, transformation et commercialisation des produits de la pêche.  </t>
  </si>
  <si>
    <t>Communauté en generale</t>
  </si>
  <si>
    <t>Ministere de L'agriculture,Ministere de Peche et Elevege</t>
  </si>
  <si>
    <t>FAO: appui technique, financier et approvisionnement , ONG: mise en œuvre, suivi et évaluation</t>
  </si>
  <si>
    <t xml:space="preserve">Faciliter l'accès des femmes au micro credits (terre, matériel et équipement, fonds de roulement) </t>
  </si>
  <si>
    <t>Secteur privé</t>
  </si>
  <si>
    <t>Ministere de l'Agriculture:Ministere de l'Agriculture, Ministere de la Santé:Coordination, support en ressources humaine</t>
  </si>
  <si>
    <t xml:space="preserve">FAO: appui technique, financier et approvisionnement </t>
  </si>
  <si>
    <t>Ministere de l'Agriculture, Ministere de Peche et Elevage et Ministere du Developpement Rural:Coordination, support en ressources humaine</t>
  </si>
  <si>
    <t xml:space="preserve">PAM et FAO: appui technique, financier et approvisionnement </t>
  </si>
  <si>
    <t xml:space="preserve">
Appuyer les programmes d’aide alimentaire sensibles à la nutrition  en fonction des besoins nutritionnels propres aux adolescents et aux filles et femmes enceintes et allaitants.</t>
  </si>
  <si>
    <t>Ministere de l'Agriculture:Coordination, support en ressources humaine</t>
  </si>
  <si>
    <t xml:space="preserve">PAM et FAO: appui technique, financier </t>
  </si>
  <si>
    <t>WASH</t>
  </si>
  <si>
    <t>Social Protection</t>
  </si>
  <si>
    <t xml:space="preserve">
Appuyer la mise a echelle du programme d'Alimentation scolaire en utilisant les produits locaux
</t>
  </si>
  <si>
    <t>Ecole</t>
  </si>
  <si>
    <t>Eleve</t>
  </si>
  <si>
    <t>ministère de l'éducation et PRONANUT :Coordination, support en ressources humaine</t>
  </si>
  <si>
    <t>PAM : appui technique, financier et approvisionnement</t>
  </si>
  <si>
    <t xml:space="preserve">Elève
Adolescentes </t>
  </si>
  <si>
    <t xml:space="preserve">soutenir les directions d'etudes et planification de differents ministeres sensibles a la nutrition a integrer la nutrition dans leur plans sectoriels.
Mettre a echelle des programmes de protection sociale pour supporter les ménages lors des chocs et pour la resilience des populations </t>
  </si>
  <si>
    <t>Ministères</t>
  </si>
  <si>
    <t>staffs étatiques</t>
  </si>
  <si>
    <t>Ministere de l'Agriculture, Ministère de la santé, ministère de l'éducation et PRONANUT :Coordination, support en ressources humaine</t>
  </si>
  <si>
    <t xml:space="preserve">PAM : appui technique, financier et approvisionnement
UNICEF : appui a la mise a echelle du Cash pour la Nutrition </t>
  </si>
  <si>
    <t>OUTCOME 2. IMPROVED CHILD HEALTH BY IMPROVING ACCESS TO PRIMARY HEALTH CARE, WATER, SANITATION AND HYGIENE SERVICES AND ENHANCED FOOD SAFETY</t>
  </si>
  <si>
    <t>By 2030, achieve universal health coverage, including access to quality essential health-care services for all</t>
  </si>
  <si>
    <t>OUTCOME 2:  OPERATIONAL FRAMEWORK</t>
  </si>
  <si>
    <t>Plaidoyer</t>
  </si>
  <si>
    <t>Ministère des finances, Ministère de la santé</t>
  </si>
  <si>
    <t>PRONANUT: coordination, ressources humaines</t>
  </si>
  <si>
    <t>OMS et UNICEF: appui technique,financier, ONG: mise en œuvre, suivi et évaluation</t>
  </si>
  <si>
    <t>campagne</t>
  </si>
  <si>
    <t>femme enceinte et allaitante, enfant de moins de 5 ans</t>
  </si>
  <si>
    <t xml:space="preserve"> UNICEF: appui technique,financier, approvisionnement en intrants,ONG: mise en œuvre, suivi et évaluation</t>
  </si>
  <si>
    <t>centre de santé et communauté</t>
  </si>
  <si>
    <t>16 provinces</t>
  </si>
  <si>
    <t> Communauté</t>
  </si>
  <si>
    <t>FAO: Appui technique et finacier</t>
  </si>
  <si>
    <t>16 Provinces</t>
  </si>
  <si>
    <t>Volonté du Gouvernement
Implication des PTF
Intérêt des investisseurs privés</t>
  </si>
  <si>
    <t>Le PAM et FAO: Appui technique, appui financier,ONG: mise en œuvre, suivi et évaluation SUN Business Network (SBN)</t>
  </si>
  <si>
    <t>Dans les provinces prioritaires , Plusieurs ministeres et secteur privé sont impliqués</t>
  </si>
  <si>
    <t>Points focaux Nut  du mouvement SUN et Parlementaires; Ministere de l'Agriculture et de la santé</t>
  </si>
  <si>
    <t>PRONANUT: coordination, ressources humaines;Volonté du Gouvernement
Implication des PTF
Implication des Organisation des Producteurs Agricols et du Secteur Privé</t>
  </si>
  <si>
    <t>Sensibiliser les populations sur des pratiques alimentaires et nutritionnelles adéquates (hygiène)</t>
  </si>
  <si>
    <t>Communauté, centre de santé</t>
  </si>
  <si>
    <t xml:space="preserve">PAM : Assistance technique,ONG: mise en œuvre, suivi et évaluation </t>
  </si>
  <si>
    <t xml:space="preserve">Mettre a l'echelle de traitement et de la consommation d'eau potable ( traitement a domicile).
</t>
  </si>
  <si>
    <t>le couple «mère / accompagnant - enfant malnutri» et les femmes enceintes et allaitantes</t>
  </si>
  <si>
    <t>Ministère de l'hydrolique, PRONANUT: coordination</t>
  </si>
  <si>
    <t>UNICEF: appui technique, financier et approvisionnement en intrants, ONG: mise en œuvre, suivi et évaluation</t>
  </si>
  <si>
    <t>Promouvoir le lavage des mains avec du savon au niveau communautaire, les CS et dans les ecoles (Promotion Tippy Tap )</t>
  </si>
  <si>
    <t>Promouvoir l'utilisation des latrines hygienique et leur maintien .</t>
  </si>
  <si>
    <t>Assurer la mise en oeuvre de la lutte anti vectorielle pour le malaria</t>
  </si>
  <si>
    <t>OUTCOME 3. IMPROVED INFANT AND YOUNG CHILD FEEDING BY IMPROVING BREASTFEEDING PRACTICES AND CHILDREN’S DIETS IN THE FIRST YEARS OF LIFE</t>
  </si>
  <si>
    <t>By 2025, the rate of exclusive breastfeeding in the first 6 months will increase up to at least 50% and at least 40% of children between 6-23 months consume a minimum diet diversity with an emphasis on animal source foods, pulses, fruits and vegetables</t>
  </si>
  <si>
    <t>53,5%(MICS-Palu RDC, 2017-2018)</t>
  </si>
  <si>
    <t>OUTCOME 3:  OPERATIONAL FRAMEWORK</t>
  </si>
  <si>
    <t>Communauté, Centre de santé</t>
  </si>
  <si>
    <t>Femme enceinte et allaitante</t>
  </si>
  <si>
    <t>PRONANUT, ZONE DE SANTE:coordination, ressources humaines</t>
  </si>
  <si>
    <t>L'UNICEF, Le PAM et La FAO : appui technique, support financier et ONGs nationales et internationales : Partenaires de mise en œuvre ; Donateurs (financements)</t>
  </si>
  <si>
    <t>canaux de communication</t>
  </si>
  <si>
    <t>Ministère, assemblée national</t>
  </si>
  <si>
    <t>Direction SSP, DLM, PRONANUT, Ministère du travail:coordination, ressources humaines</t>
  </si>
  <si>
    <t>Former les prestataires et les acteurs communautaires sur la sante mentale des gardiens d'enfants et les pratiques de l'ANJE.</t>
  </si>
  <si>
    <t xml:space="preserve">Communauté, Centre de santé </t>
  </si>
  <si>
    <t>PAM: appui technique, financieret ONGs nationales et internationales: Partenaires de mise en œuvre  ; Donateurs (financements)</t>
  </si>
  <si>
    <t>MinAgri, PRONANUT et secteur privé</t>
  </si>
  <si>
    <t>Ministeres et secteur privé</t>
  </si>
  <si>
    <t>PRONANUT:coordination, ressources humaines</t>
  </si>
  <si>
    <t>PAM et FAO : appui technique, financier,FAO  : Appui technique et Financier et ONGs nationales et internationales : Partenaires de mise en œuvre  ; Donateurs (financements)</t>
  </si>
  <si>
    <t>Communauté</t>
  </si>
  <si>
    <t>staffs Ministere de l'Agriculture, Ministere de Peche et Elevage  et du Dévelopement rural</t>
  </si>
  <si>
    <t>Ministere de l'Agriculture, Ministere de Peche et Elevage  et du Dévelopement rural</t>
  </si>
  <si>
    <t>FAO : Appui technique et Financier et ONGs nationales et internationales : Partenaires de mise en œuvre  ; Donateurs (financements).</t>
  </si>
  <si>
    <t>homme et femme</t>
  </si>
  <si>
    <t>Fournir une alimentation de couverture aux FEFA et aux enfants de 6 a 23 mois pendant la periode de soudure.</t>
  </si>
  <si>
    <t xml:space="preserve">Feammes enceintes et Allaitantes 
Enfans 6-23 mois </t>
  </si>
  <si>
    <t xml:space="preserve"> Doter les menages vulnerables d'intrants et equipements necessaires pour la securite alimentaire.</t>
  </si>
  <si>
    <t>Ministere de l'Environnement:coordination, ressources humaines</t>
  </si>
  <si>
    <t xml:space="preserve">Social Protection </t>
  </si>
  <si>
    <t>Fournir des supplemts nutritionnels aux FEFA et aux enfants de 6 a 23 mois pendant la periode critique.</t>
  </si>
  <si>
    <t>Communauté, Centre de santé et centre de distribution et Organisations paysannes, cooperatives paysannas etc</t>
  </si>
  <si>
    <t>Communauté, FEFA</t>
  </si>
  <si>
    <t>PRONANUT et Zones de Santé et Ministere de l'Agriculture et de Peche et elevage:coordination, ressources humaines</t>
  </si>
  <si>
    <t xml:space="preserve">Soutenir l'adhésion des ménages agricoles à la Mutuelle de Sante </t>
  </si>
  <si>
    <t>Organisations paysannes (OP)</t>
  </si>
  <si>
    <t>Ménages agricoles</t>
  </si>
  <si>
    <t>IPAPEL: Coordination</t>
  </si>
  <si>
    <t xml:space="preserve">PAM: Assistance technique, appui financier,ONG: mise en œuvre, suivi et évaluation </t>
  </si>
  <si>
    <t>Mettre en place l'approche cash mixte (espece plus aliments infantiles) pour les enfants de moins de 2 ans en situation d'urgence.</t>
  </si>
  <si>
    <t>OUTCOME 4. IMPROVED TREATMENT OF CHILDREN WITH WASTING BY STRENGTHENING HEALTH SYSTEMS AND INTEGRATING TREATMENT INTO ROUTINE PRIMARY HEALTH SERVICES</t>
  </si>
  <si>
    <t>By 2025, we will increase by 50% the coverage of treatment services for children with wasting</t>
  </si>
  <si>
    <t>augmenter de 50 % la couverture des services de traitement des enfants émaciés</t>
  </si>
  <si>
    <t>30% ( Rapport cluster Nutrition, 2019)</t>
  </si>
  <si>
    <t>30% (DHIS-2)</t>
  </si>
  <si>
    <t>National Policy 
Commitment</t>
  </si>
  <si>
    <t xml:space="preserve">Health </t>
  </si>
  <si>
    <t>enfants de moins de 5 ans,  femmes enceintes et allaitantes</t>
  </si>
  <si>
    <t>PRONANUT pour la coordination, formation et ressources humaines</t>
  </si>
  <si>
    <t xml:space="preserve"> L'UNICEF et PAM assure la disponibilité du MUAC , appui financier  ,appui technique                                                                       ONG est responsable de la mise en œuvre, suivi et évaluation                                                                 </t>
  </si>
  <si>
    <t>PRONANUT: coordination, formation et ressources humaines</t>
  </si>
  <si>
    <t xml:space="preserve">Mettre a echelle l'approche simplifiée PCIMA au niveau communautaire (utilisation d'un seul produit de traitement de la malnutrition).                                                      </t>
  </si>
  <si>
    <t>enfants de moins de 5 ans</t>
  </si>
  <si>
    <t xml:space="preserve">Le PAM : renforcer sa capacité logistique , approvisionnement des intrants                                                                                  a  
L'UNICEF: soutien la prestation de services , appui technique, l'achat et l'approvisionnement en intrants nutritionnels 
L'UNICEF assure le lead du cluster de Nutrition, assurer le plaidoyer  et la prestation de services. </t>
  </si>
  <si>
    <t xml:space="preserve">Décentraliser la prise en charge de la malnutrition aigue au niveau communautaire dans les CAC. </t>
  </si>
  <si>
    <t>Relais communautaire, staff étatique</t>
  </si>
  <si>
    <t>PRONANUT: coordination, formation et ressources humaines, DECOSS</t>
  </si>
  <si>
    <t>L'UNICEF: appui technique pour le traitement de la malnutrition aigue selon l'approche standard et l'approche simplifié  et la réalisation des enquetes de couverture. L'UNICEF réalise actuellement un pilote de l'approche simplifié de traitement de la malnutrition aigue.
PAM plus étroitement avec l'UNICEF pour identifier les domaines d'opération communs comme première étape pour l'offre d'un paquet nutritionnel complet,                                                                                                                                                         ONG: mise en oeuvre, suivi et évaluation</t>
  </si>
  <si>
    <t>staff étatique</t>
  </si>
  <si>
    <t xml:space="preserve">PRONANUT: coordination, formation et ressources humaines, </t>
  </si>
  <si>
    <t xml:space="preserve">L'UNICEF et PAM : appui financier, support technique , monitoring de la qualité 
</t>
  </si>
  <si>
    <t>Integrer les intrants nutritionnels dans la chaine nationale d'approvisionnement des medicaments essentiels.</t>
  </si>
  <si>
    <t>Ministère de la Santé (PRONANUT)</t>
  </si>
  <si>
    <t>Unicef et les ONG interviennent au niveau du plaidoyer pour une meilleure prise en compte des médicaments de prise en charge de la malnutrition                                                                                                                                                                                                        UN Agencies (UNICEF,  WFP,OMS)   : Appui technique et Financier et ONGs nationales et internationales : Partenaires de mise en œuvre  ; Donateurs (financements)</t>
  </si>
  <si>
    <t>Centre de santé, communauté</t>
  </si>
  <si>
    <t>staff étatique Pronanut</t>
  </si>
  <si>
    <t>PAM et FAO: appui financier, technique et approvisionnement</t>
  </si>
  <si>
    <t>Ministère de l'éducation: coordination, formation et ressources humaines</t>
  </si>
  <si>
    <t>Donner du cash dans une situation d'insécurité alimentaire,Réponse urbaine (Kinshasa) au COVID-19 et construction de la transition vers des systèmes de filets de sécurité sociale réactifs aux chocs (intervention de transfert d'espèces,Modélisation et extension d'un programme de protection sociale réactif aux chocs à l'appui de la résilience</t>
  </si>
  <si>
    <t>Parents d'enfants malnutris</t>
  </si>
  <si>
    <t>UNICEF et PAM: appui financier, technique et approvisionnement</t>
  </si>
  <si>
    <t>Enseignants</t>
  </si>
  <si>
    <t xml:space="preserve">Provide a short situational analysis of child wasting, including trends, characteristics and key determinants at a geographical/population level in this particular context.  Please consider the seasonality of malnutrition and any conflict or displacement that are central to understanding the root causes of malnutrition in this context.  The analysis should also include a short description of the primary efforts/services in place for the prevention, early detection and treatment of child wasting as well as information on any key service gaps/challenges.  
(LIMIT:  800 WORDS)                                                                                                                                                                                                                                                                                                                                                                                                                                                                                                                                                                                                        La crise humanitaire en République Démocratique du Congo (RDC) reste aigüe et complexe et marquée par : les mouvements de populations, l’insécurité alimentaire aigüe, la malnutrition aigüe et les épidémies et les conflits. La RDC est un des dix pays qui représentent 60 % de la charge mondiale de l'émaciation chez les enfants de moins de 5 ans. La prévalence nationale de l’émaciation est passée de 16 % en 2001 à 6,5 % en 2018 avec 2,0% de cas  sévères. 
Au niveau provincial, 11 sur 26 provinces ont une prevalence de la malnutrition aigüe sévère (MAS) dépasse le seuil d’urgence de 2% à savoir les provinces du Nord Ubangui (6.6%), d’Ituri (6.1%), Haut Uele (4.1%), Kwilu (3.6%), Kongo Central, (3.4%), Équateur (3%), Tshuapa (2.9%), Sankuru (2.9%), Lomami (2.7%), Lualaba (2.4%) et Mongala(2.3%). Le suivi des alertes fait par le Gouvernement, publiés dans les bulletins du « Surveillance Nutritionnelle Sécurité Alimentaire et Alerte Précoce (SNSAP) » entre janvier et septembre 2020, ont montré que 7 provinces les plus touchées sont de façon permanente en alerte, il s’agit de Kwango, Kasai Orientale, Kasai central, Maniema, Equateur, Tshuapa et le Kasai.
Au plan programmatique, la couverture annuelle des services de prise en charge des enfants souffrant d’émaciation sévère varie entre 25-48% de 2016 à 2019. En 2019 pour la forme modérée la couverture était seulement de 17%.  En termes de couverture géographique, en 2019, seulement 31.02% des zones de santé assuraient la prise en charge de la malnutrition en RDC. Selon les estimations de 2019 du cluster de nutrition, 53% des projets prenaient uniquement en charge les enfants MAS, 17% uniquement les enfants MAM et 29% au même moment les enfants MAM et MAS. 
Ces dernières 4 années, le pays a connu 5 épidémies de la maladie a Virus Ebola. La dixième épidémie a durée presque 2 ans dans la partie Est du pays. La onzième épidémie a débuté du 1er juin 2020 et a pris fin en novembre 2020 dans la province de l’Équateur. De plus la RDC a été aussi affectée par la pandémie COVID-19 a l’instar des autres payes du monde augmentant ainsi la vulnérabilité des enfants. 
Les résultats issus du 19ème cycle d’analyse du Cadre intégré de classification de la sécurité alimentaire (IPC) couvrant juillet à décembre 2020, ont montré qu’environ 27,3 millions de Congolais sont en situation d’insécurité alimentaire équivalent à la phase 3 et 4 de l’IPC, représentant ainsi 28% de la population analysée. Sur le nombre de personnes en insécurité alimentaire aigue, 6,3 millions sont en situation d’urgence (IPC4). L’insécurité, les conflits interethniques, les conflits armés et la pandémie à Coronavirus sont responsable de cette situation d’insécurité alimentaire critique. Les personnes vulnérables touchées par l’insécurité alimentaire aiguë se retrouvent principalement dans les provinces de l’Ituri, du Tanganyika, du Kasaï Central, Kasai Oriental, du Kasaï, du Kwango, du Nord-Kivu et du Maniema les mêmes touchées par la malnutrition aigüe. Les résultats FNG montrent aussi que seulement 48% des ménages ont accès à une alimentation nutritive. 
Les principales causes sous-jacentes de l'émaciation en RDC sont les suivantes : 46,5% des enfants de 0-6 mois ne sont pas exclusivement allaités - 92% d’enfant de 6-23 mois ne reçoivent pas un régime alimentaire minimum acceptable - 67% de ménages n’ont pas accès aux services d’eau potables bien gérés - 86% des ménages n’utilisent pas des installations sanitaires améliorées - 79% des ménages ne peuvent se laver les mains avec du savon et 12% de la population congolaise pratiquent encore la défécation a l'air libre. Selon les données nationales disponibles, 7,1% des enfants naissent avec un faible poids de naissance, 38,4% de femmes enceintes souffrent d'anémie et 15% de femmes souffrent de malnutrition (Maigreur) (MICS 2018). 
L’émaciation est une carence nutritionnelle qui entraîne de graves conséquences sur la santé, la plus immédiate étant un risque accru de mortalité. Le taux de mortalité des enfants de moins de 5 ans en RDC connait une baisse depuis les derniers 30 ans. Il est passé de 184 décès pour 1.000 naissances vivantes en 1990 à 70 décès pour 1.000 naissances vivantes en 2018, soit une réduction de 61,9%. Le taux de mortalité chez les enfants de moins de 5 ans en RDC reste élevé malgré sa baisse significative et 45% de la mortalité chez les jeunes enfants a associés à la malnutrition.
Les précipitations ont profité aux cultures, sauf dans le Bas et le Haut-Uélé et provinces de l’ouest. Cependant, de fortes pluies localisées, en particulier dans les montagnes agro-pastorales du Sud-Kivu, a entraîné inondations et dommages aux cultures. Des pertes de récolte importantes ont également été signalés en raison d'infestations de chenilles d'automne, en particulier dans les régions productrices de maïs. D'autres ravageurs ont réduit la production agricole dans le Grand Katanga, Grand Kasaï, les provinces de l'Ex-Oriental et de l'Ouest.
Les efforts de la lutte contre l’émaciation en RDC se sont principalement concentrés sur les traitements de l’émaciation pour les enfants de moins de 5 ans dans les situations de crise nutritionnelle. Il faudra intégrer la prévention de la malnutrition dans les programmes de prise en charge et pour ce faire, le pays doit étendre la couverture des services de promotion et suivi de la croissance des enfants de 23 mois et 24-59 mois, assurer la promotion et soutien de l’allaitement maternel et l’aliment de complément, complété par l’alimentation de couverture dans les zones avec insécurité alimentaire ou crise aigüe. 
Quelques leçons apprises des interventions de nutrition : Mise à échelle des stratégies de prévention de la malnutrition, l’intégration effective des soins nutritionnels dans les services de santé de routine amélioration de la détection précoce dans la communauté. Il faudra aussi des outils de plaidoyer pour la mobilisation de financement domestiques pour la durabilité des interventions surtout l’achat des intrants nutritionnels. Faire l’option de l’approche simplifiée pour la continuité des soins MAM et MAS et renforcer les capacités opérationnelles du Programme national de Nutrition (PRONANUT) au sein du Ministère de la Sante.
</t>
  </si>
  <si>
    <t>Enquête CAP ménages initiales et finales dans les communautés d'enfants malnutris</t>
  </si>
  <si>
    <t>Appuyer l'introduction  et la distribution des micronutriments aux femmes enceintes</t>
  </si>
  <si>
    <t xml:space="preserve"> Developper de directives de Nutrition maternelle au sein du ministère de la Santé,
Fournir une alimentation de couverture aux femmes et filles enceintes et allaitantes (PLWG), pendant la periode de soudure 
Plaidoyer pour sensibiliser les bailleurs de fonds et les autres parties prenantes à l'importance de cette approche pour améliorer la nutrition maternelle et infantile.</t>
  </si>
  <si>
    <t xml:space="preserve">Appuyer les petits producteurs a ameliorer leur production suivant les differentes chaines de valeur. </t>
  </si>
  <si>
    <t>Redynamiser l'alliance pour la fortification alimentaire. 
Developper le partenariat avec le secteur prive pour des systemes alimentaires en faveur de la nutrition 
Appuyer les programmes de transformation des produits agroalimentaires, l'enrichissement et la bio-fortification des aliments.
Distribuer des semences bio fortifiees aux familles vulnerables</t>
  </si>
  <si>
    <t>Appuyer la promotion de la Nutrition, la Sante et l'Hygiene dans les etablissement d'enseignment</t>
  </si>
  <si>
    <t xml:space="preserve">
Soutenir le déparasitage avec l'Albendazole des enfants 1-14 ans et les adolscents 
Renforcer la Supplémentation en vitamine A tous les 6 mois en routine pour les enfants de 6 à 59 mois   
 Appuyer l'OCC pour le controle de sel iode aux frontieres( distribution de Kits d'iodation) </t>
  </si>
  <si>
    <t xml:space="preserve">Mettre a echelle les interventions de la nutrition a assise communautaire 
</t>
  </si>
  <si>
    <t xml:space="preserve">Organiser, structurer, et renforcer les capacités des acteurs de chaque filière en associations et/ou en coopératives.
Introduire pour chaque filière de races améliorées en milieu rural.
 Réhabiliter et/ou créer, et rendre opérationnels des centres de multiplication des géniteurs. 
 Mettre en place des unités de transformation, conservation et stockage des produits d’élevage. </t>
  </si>
  <si>
    <t xml:space="preserve">Adopter, mettre en œuvre et vulgariser un cadre juridique conforme aux normes sanitaires alimentaires reconnues
Améliorer la gouvernance agricole, 
Promouvoir l’intégration de l’approche genre et renforcer les capacités humaines et institutionnelles
</t>
  </si>
  <si>
    <t xml:space="preserve">Mener le plaidoyer pour la creation du Haut conseil de la sécurité alimentaire et nutritionnel, chargé d'élaborer de stratégie de contrôle et de coordonner les activités de nutrition et securite alimentaire.  
Renforcer la santé animales et végétales pour la détection, la prévention et la lutte contre les maladies animales selon les recommandations RSI (Règlementation Sanitaire Internationale).     
 Ameliorer la recherche agronomique ainsique la diffusion de technologie appropriee. </t>
  </si>
  <si>
    <t>Ménages, Couples mères et Enfants 6-23 mois et femmes enceintes et allaitantes</t>
  </si>
  <si>
    <t xml:space="preserve">Appuyer les menages en intrants agricoles, de peche et elevage en vue de la production diversifiee des aliments.
Promouvoir les jardins de case dans les communautes.
</t>
  </si>
  <si>
    <t xml:space="preserve">Menages vulnerables </t>
  </si>
  <si>
    <t>Mettre a echelle l'approche simplifiee de la PCIMA avec le depistage par le perimètre Brachial familial.</t>
  </si>
  <si>
    <t>Renforcer l'application de la méthode « mère kangourou » pour les nouveau-nés malades et de faible poids.
Elaborer et Vulgariser une strategie nationale de developpement de la petite enfance pour les structures de sante et la communaute..
Mettre en place des centres d'eveil pour la stimulation psycho-affective des enfants au niveau des structures de sante et dans la communaute.</t>
  </si>
  <si>
    <t xml:space="preserve">Suivre et Créer un cadre juridique qui exige la fortification des produits alimentaires de grande consommation.
Redynamiser et appuyer le fonctionnement de l'alliance nationale de fortification  des produits alimentaires de grande consommation.
Actualiser le plan strategique national de fortification des aliments de grande consommation.
Appuyer les petits fermiers et les reseaux du secteur prive en formation et en intrants pour la production des aliments bio fortifie.
Appuyer la vulgarisation des produits bio fortifies aupres des menages pour la consommation.
</t>
  </si>
  <si>
    <t>Plaidoyer pour le decaissement d'une ligne budgétaire «Nutrition» dans le budget national
Renforcer la gouvernance multisectorielle au niveau national et redynamisation des comités multisectoriel de Nutrition decentralises
              Intégration de la prise en charge de la malnutrition dans les ordinogrammes des soins et dans les guides thérapeutiques développés par le Ministère de la santé, principalement dans la prise en charge des complications médicales de MAS</t>
  </si>
  <si>
    <t xml:space="preserve">Le PAM : renforcer sa capacité logistique , approvisionnement des intrants  MAM                                                                              
L'UNICEF: soutien la prestation de services , appui technique, l'achat et l'approvisionnement en intrants nutritionnels MAS
L'UNICEF assure le lead du cluster de Nutrition, assurer le plaidoyer  et la prestation de services. </t>
  </si>
  <si>
    <t>communauté             centre de santé</t>
  </si>
  <si>
    <t>Santé</t>
  </si>
  <si>
    <t>National  Target (2025)</t>
  </si>
  <si>
    <r>
      <t xml:space="preserve">Current National Universal Health Coverage Index 
</t>
    </r>
    <r>
      <rPr>
        <i/>
        <sz val="12"/>
        <color theme="1"/>
        <rFont val="Calibri"/>
        <family val="2"/>
        <scheme val="minor"/>
      </rPr>
      <t>(2020 or most recent data)</t>
    </r>
  </si>
  <si>
    <t>By 2025, reduce wasting prevalence to less than 5%</t>
  </si>
  <si>
    <r>
      <t xml:space="preserve">  Current (%)
</t>
    </r>
    <r>
      <rPr>
        <b/>
        <i/>
        <sz val="10"/>
        <color theme="1"/>
        <rFont val="Calibri"/>
        <family val="2"/>
        <scheme val="minor"/>
      </rPr>
      <t xml:space="preserve">(In the context of high refugee population, please consider referencing disaggregated data)      </t>
    </r>
    <r>
      <rPr>
        <b/>
        <sz val="12"/>
        <color theme="1"/>
        <rFont val="Calibri"/>
        <family val="2"/>
        <scheme val="minor"/>
      </rPr>
      <t>(MICS-Palu RDC, 2017-2018)</t>
    </r>
  </si>
  <si>
    <r>
      <t xml:space="preserve">Based on the identified high-prevalence sub-national areas listed above, </t>
    </r>
    <r>
      <rPr>
        <u/>
        <sz val="12"/>
        <color theme="1"/>
        <rFont val="Calibri"/>
        <family val="2"/>
        <scheme val="minor"/>
      </rPr>
      <t>please prioritize specific sub-national areas for the simultaneous and coordinated delivery of essential actions for the prevention, early detection and treatment of child wasting</t>
    </r>
    <r>
      <rPr>
        <sz val="12"/>
        <color theme="1"/>
        <rFont val="Calibri"/>
        <family val="2"/>
        <scheme val="minor"/>
      </rPr>
      <t>. The selection criteria used should also include (but not limited to):
- Rates of maternal malnutrition, low birthweight and complementary feeding practices
- Food insecurity levels and/or quality of diets (e.g. household minimum dietary diversity or minimum dietary diversity of women of reproductive age)
- Availability of government and partner services 
- IPC Acute Malnutrition Phase Classification
- Presence of vulnerable populations including displaced or refugee populations
Le PAM continuera de concentrer ses activités nutritionnelles dans les domaines d'intervention qui ont été identifiés comme des emplacements prioritaires selon l'analyse effectuée par PRONANUT, le module Nutrition et les parties prenantes concernées. Cette analyse prend en compte la classification IPC, les données SNSAP, les résultats des enquêtes nutritionnelles, entre autres. Ces informations sont consolidées dans le HRP.
Nous prévoyons de continuer à travailler dans les provinces couvertes par nos implantations sur le terrain dans les provinces du  Kasai central,Equateur,Ituri,Kasai,Tshuapa,Nord Ubangi,Kasai Orientale, Tanganyika, Sankuru, Tshopo, Haut Uele, Sud-Kivu, Nord-Kivu, Maï-Ndombe, Kwango,Kwilu.
En termes de partenariats, nous travaillerons avec les partenaires d'exécution dans les sites mentionnés ci-dessus ainsi que sur le renforcement des capacités de PRONANUT et en étroite coordination et collaboration avec l'UNICEF, le cluster Nutrition, la FAO, l'OMS, l'ONUSIDA et l'UNFPA.</t>
    </r>
  </si>
  <si>
    <r>
      <t xml:space="preserve">Current National % of Low-Birth-Weight newborns 
</t>
    </r>
    <r>
      <rPr>
        <i/>
        <sz val="12"/>
        <color theme="1"/>
        <rFont val="Calibri"/>
        <family val="2"/>
        <scheme val="minor"/>
      </rPr>
      <t>(2020 or most recent data)</t>
    </r>
  </si>
  <si>
    <r>
      <t xml:space="preserve">National % Exclusive breastfeeding under 6 months 
</t>
    </r>
    <r>
      <rPr>
        <i/>
        <sz val="12"/>
        <color theme="1"/>
        <rFont val="Calibri"/>
        <family val="2"/>
        <scheme val="minor"/>
      </rPr>
      <t>(2020 or most recent data)</t>
    </r>
  </si>
  <si>
    <r>
      <t xml:space="preserve">National Coverage:  Management of severe acute malnutrition (SAM) – Inpatient 
</t>
    </r>
    <r>
      <rPr>
        <i/>
        <sz val="12"/>
        <color theme="1"/>
        <rFont val="Calibri"/>
        <family val="2"/>
        <scheme val="minor"/>
      </rPr>
      <t>(2020 or most recent data)</t>
    </r>
  </si>
  <si>
    <r>
      <t xml:space="preserve">National Coverage:  Management of severe acute malnutrition (SAM) – Outpatient 
</t>
    </r>
    <r>
      <rPr>
        <i/>
        <sz val="12"/>
        <color theme="1"/>
        <rFont val="Calibri"/>
        <family val="2"/>
        <scheme val="minor"/>
      </rPr>
      <t>(2020 or most recent data)</t>
    </r>
  </si>
  <si>
    <t>Apporter un soutien conséquent et coordonné aux pays pour renforcer les systèmes sanitaires au niveau des soins de santé primaires en produisant des évidences : l’établissement des priorités, la planification et le budget, la mobilisation des financements et le renforcement des capacités du personnel de santé afin d’améliorer la couverture et l’équité, notamment dans les environnements précaires et vulnérables.
Plan de Developpement Sanitaire recadre PNDS 2019-2022</t>
  </si>
  <si>
    <t>Intégrer les interventions essentielles de nutrition  au paquet de services de santé dans les plans nationaux de santé et les feuilles de route vers une couverture sanitaire universelle, en garantissant l’accès à ceux qui sont les plus laissés pour compte, notamment durant les situations de crise et d’urgence.
Plan de Developpement Sanitaire recadre PNDS 2019-2022</t>
  </si>
  <si>
    <t>Renforcer et élargir les services de dépistage précoce de retard de croissance 
PLAN STRATEGIQUE NATIONAL DE NUTRITION 2017-2021</t>
  </si>
  <si>
    <t xml:space="preserve">
Réduire la contamination des cultures dans les exploitations agricoles, accentuer la sécurité alimentaire sur les marchés et améliorer la conservation et la manipulation des aliments au sein des foyers (hygiène alimentaire) en s’employant à fournir des compléments et suppléments alimentaires aux jeunes enfants. (PNSAN 2018-2030) POLITIQUE NATIONALE DE SECURITE ALIMENTAIRE ET NUTRITIONNELLE</t>
  </si>
  <si>
    <t>DEP Ministere de l'Agriculture  et Ministere de Peche et Elevage: coordination , ressources humaines</t>
  </si>
  <si>
    <t>Accélérer la mise en place de programmes conjoints de nutrition et d’eau, d’assainissement et d’hygiène et accroître le nombre d’installations destinées au lavage des mains et les services EAH (eau salubre et assainissement).
Promouvoir l’approvisionnement en savon et les services d’eau, d’assainissement et d’hygiène pertinents sur toutes les plateformes d’aide alimentaire.
  ( Politique Nationale de l'Hygiene et d'Assainissement de base 2013)</t>
  </si>
  <si>
    <t>Accroître le nombre de nourrissons nés sans complications dans des établissements de santé et ayant bénéficié de soins prénatals appropriés  .(SRMNEA-NUT 2021- 2025)</t>
  </si>
  <si>
    <t xml:space="preserve">Renforcer l'acces aux soins de Sante et Nutrition aux femmes en age de procreer , les femmes enceintes et les Adolecsentes 
.(SRMNEA-NUT 2021- 2025)
 </t>
  </si>
  <si>
    <t>Prévenir les grossesses chez les adolescentes en renforçant l’éducation à la vie courante dans les écoles primaires, secondaires et espace de jeux ,et en encourageant l’usage de méthodes contraceptives. .(SRMNEA-NUT 2021- 2025...)</t>
  </si>
  <si>
    <t>Hopital, Centre de santé, Communauté
Ecoles primaires et secondaires</t>
  </si>
  <si>
    <t>Etablir de programmes d’apport alimentaire équilibré et de supplémentation en protéines ciblant les femmes enceintes dans les services de soins prénatals. .(SRMNEA-NUT 2021- 2025)</t>
  </si>
  <si>
    <t>Renforcer la production alimentaire locale à travers les chaînes de valeur alimentaire visant à faciliter l’accès des femmes en âge de procréer à une alimentation saine à un coût abordable (diversité alimentaire en mettant l’accent sur les aliments d’origine animale, les légumineuses, les fruits et légumes et les aliments fortifiés, selon les besoins).  (PNIA 2013-2020 ) PLAN NATIONAL D'INVERSTISSEMENT AGRICOLE)</t>
  </si>
  <si>
    <t>Ameliorer le statut nutritionnel de la femme enceinte, Allaitante et de l'Adolescente 
(PNIA 2013-2020 ) PLAN NATIONAL D'INVERSTISSEMENT AGRICOLE)</t>
  </si>
  <si>
    <t>Renforcer lasilience des moyens d’existence des populations fragilisées  face à l’insécurité alimentaire et nutritionnelle
(PNSAN 2018-2030) POLITIQUE NATIONALE DE SECURITE ALIMENTAIRE ET NUTRITIONNELLE)</t>
  </si>
  <si>
    <t>Améliorer la conception des programmes d’enrichissement des micronutriments en fortifiant les aliments de base courants (farine de blé ou de maïs, riz, condiments).
(PNSAN 2018-2030) POLITIQUE NATIONALE DE SECURITE ALIMENTAIRE ET NUTRITIONNELLE
Promouvoir le bio enrichissement génétique des cultures vivrières pour  la sécurité alimentaire et la résilience des communautés rurales vulnérables 
(PNSAN 2018-2030) POLITIQUE NATIONALE DE SECURITE ALIMENTAIRE ET NUTRITIONNELLE</t>
  </si>
  <si>
    <t>Améliorer et à adapter les programmes (par exemple, nutrition, Cash, cantine scolaire) pour mieux répondre aux besoins de nos bénéficiaires. 
PLAN STRATEGIQUE NATIONAL DE NUTRITION 2017-2021</t>
  </si>
  <si>
    <t>Renforcer l’approvisionnement institutionnel dans le cadre des programmes nationaux et/ou à grande échelle (par exemple, programmes alimentaires scolaires, versements en liquide et bons alimentaires, aide alimentaire). STRATEGIE  DE PROTECTION SOCIALE (Decembre 2015)</t>
  </si>
  <si>
    <t>Optimiser l’utilisation des plateformes scolaires pour soutenir les efforts de sensibilisation en matière d’alimentation et de la santé de la reproduction à l’attention des adolescentes. 
POLITIQUE NATIONAL DE PROTECTION SOCIALE ( decembre 2015)</t>
  </si>
  <si>
    <t>Harmoniser les politiques, les stratégies et les programmes de nutrition et de protection sociale en tenant compte des aspects multisectoriels afin de contribuer plus efficacement au soutien des adolescentes et des femmes vulnérables. 
(POLITIQUE NATIONAL DE NUTRITION, POLITIQUE NATIONAL DE PROTECTION SOCIALE)</t>
  </si>
  <si>
    <t>Ameliorer les pratiques d'alimentation du nourrisson et du jeune enfant.
(Plan strategique de communication pour l'ANJE, Manuel d'orientation sur la NAC, Module de formation sur l'ANJE, Directives de mise en oeuvre de la NAC,  Code congolais de commercialisation des substituts du lait maternel) 
PLAN STRATEGIQUE NATIONAL DE NUTRITION 2017-2021</t>
  </si>
  <si>
    <t>Mise a echelle et renforcement des interventions de promotion des pratiques ANJE. 
Plaidoyer pour l'adoption d'une politique pour la protection de la maternité et de l’allaitement maternel en  milieu de travail.
Assurer la vulgarisation du Code international de commercialisation des substituts du lait maternel</t>
  </si>
  <si>
    <t>Soutenir la mise en œuvre systématique du Cadre de soins de santé afin d’assurer le développement des enfants sur le plan sanitaire, psychosocial et éducatif. 
PNDS recadre 2019-2022</t>
  </si>
  <si>
    <t>S’assurer que la santé mentale des gardiens d'enfants est prise systématiquement en compte dans les services de sante et dans les services communautaires. 
PNDS recadre 2019-2022</t>
  </si>
  <si>
    <t>PRONANUT et Zones de Santé:coordination, ressources humaines</t>
  </si>
  <si>
    <t>Améliorer la conception des programmes de fortification des aliments en micronutriments des aliments de grande consommation. 
(PNIA 2013-2020, Strategie nationale de fortification des aliments 2010, PNSAN 2018-2030)
Inclure la bio fortification des cultures de base à l'aide de techniques de sélection conventionnelles dans le cadre de stratégies agricoles de sécurité alimentaire et de résilience pour améliorer l'alimentation des communautés rurales vulnérables qui dépendent fortement de peu de produits de base.</t>
  </si>
  <si>
    <t>Renforcer les chaines de valeurs alimentaires pour ameliorer la securite alimentaire et nutrtionnelle au niveau des menages.
(PNIA 2013-2020, Strategie nationale de fortification des aliments 2010, PNSAN 2018-2030)</t>
  </si>
  <si>
    <t>Soutenir l'intégration de la dynamique des moyens d'existence et de la saisonnalité dans la conception et la mise en œuvre des programmes d'urgence et de renforcement de la résilience.
(PNIA 2013-2020, Strategie nationale de fortification des aliments 2010, PNSAN 2018-2030)</t>
  </si>
  <si>
    <t>Améliorer l’accès durable à des aliments nutritifs et abordables grâce aux transferts de protection sociale (en espèces ou en nature) destinés aux enfants et aux femmes vulnérables. 
POLITIQUE NATIONAL DE PROTECTION SOCIALE ( decembre 2015)</t>
  </si>
  <si>
    <t>Renforcer l’intégration du dépistage et du traitement précoces des enfants émaciés aux services de soins primaires et communautaires courants et veiller à la mise en place de systèmes d’orientation pour mieux gérer les cas d’émaciation. 
Protocole national PCIMA-2016)</t>
  </si>
  <si>
    <t>Accroître la capacité des soignants communautaires à identifier et à traiter les enfants présentant une émaciation sans complications et à surveiller leur réhabilitation nutritionnelle au sein de leur foyer. 
 (Approche Simplifiee adaptation Protocole national PCIMA-2016)</t>
  </si>
  <si>
    <t>Appliquer des solutions programmatiques permettant d’améliorer la rentabilité du dépistage et du traitement précoces des enfants émaciés.
Protocole national PCIMA-2016)</t>
  </si>
  <si>
    <t>Étendre la couverture du traitement de la malnutrition aiguë à toutes les zones de santé.
PLAN STRATEGIQUE NATIONAL DE NUTRITION 2017-2021</t>
  </si>
  <si>
    <t>Renforcer les systèmes nationaux d'information sanitaire pour surveiller et signaler régulièrement les données relatives à l'émaciation afin de soutenir et informer les services nationaux pour la mise en œuvre la prévention et le traitement efficaces.
PLAN STRATEGIQUE NATIONAL DE NUTRITION 2017-2021</t>
  </si>
  <si>
    <t>Développement d'une catégorie appropriée pour ce produit et en tenant compte des évaluations au niveau des pays sur les avantages par rapport aux méfaits potentiels, tout en favorisant les initiatives locales de production. 
PLAN STRATEGIQUE NATIONAL DE NUTRITION 2017-2021</t>
  </si>
  <si>
    <t>Suivi des normes strictes d'assurance qualité (AQ)
Garantir les normes de sécurité et de qualité des aliments nutritifs spécialisés produits localement nécessaires au traitement de l'émaciation infantile, grâce à une meilleure collaboration avec le secteur privé.
PLAN STRATEGIQUE NATIONAL DE NUTRITION 2017-2021</t>
  </si>
  <si>
    <t>Interventions en rapport avec la protection sociale des ménages vulnérables: - Filets de sécurité alimentaire aux familles de malnutris; - Transfert en espèces  (conditionnel ou non conditionnel); Distribution alimentaire dans les ménages 
Strategie de Protection Sociale 2015</t>
  </si>
  <si>
    <t>Mettre en place des programmes de transferts monétaires et/ou en nature pour renforcer les capacités des ménages les plus pauvres et les plus vulnérables et prévenir l’indigence 
Strategie de Protection Sociale 2015</t>
  </si>
  <si>
    <t>OUTCOME 4:  OPERATIONAL FRAMEWORK</t>
  </si>
  <si>
    <t>Renforcer la mise à l'échelle des programme de la prise en charge en charge de la malnutrition aigue sévère selon l'approche standard(UNTI,UNTA)dans la communauté                                                 
Renforcer la mise à l'échelle des programmes de la prise en charge en charge de la malnutrition aigue modérée selon l'approche standard(UNS) dans la communauté                                                             
Integrer les intrants nutritionnels dans la chaine nationale d'approvisionnement des medicaments essentiels.</t>
  </si>
  <si>
    <t>Integrer le module complementaire nutrition dans le DHIS pour toutes les provinces. 
Organiser des ateliers d'analyse et correction des donnees de nutritions dans DHIS-2 aux niveaux natonal et provincial.                                                                                
Renforcement du SNSAP au niveau national                                           
Réalisation des enquêtes SMART SENS et des couvertures  dans les toutes les zones de santé du pays</t>
  </si>
  <si>
    <t>Engagement dans le SBN en tant qu'initiative visant à contribuer à la sécurité des produits nutritionnels produits localement.  
Rationaliser les systèmes de chaîne d'approvisionnement pour la livraison des produits clés nécessaire au traitement de l'émaciation infantile.           
suivi des normes strictes d'assurance qualité (AQ). Garantir les normes de sécurité et de qualité des aliments nutritifs spécialisés produits localement nécessaires au traitement de l'émaciation infantile, grâce à une meilleure collaboration avec le secteur privé.  Appuyer les efforts fournis pour prévenir et réduire l’aflatoxine et d’autres toxines dans les aliments thérapeutiques</t>
  </si>
  <si>
    <t>Appuyer les efforts fournis pour prévenir et réduire l’aflatoxine et d’autres toxines dans les aliments thérapeutiques et infantiles.</t>
  </si>
  <si>
    <t>Ciblage des critères liés à la nutrition et recherche des synergies avec les différents programmes de la résilience, Cash et cantine scolaire.</t>
  </si>
  <si>
    <t>The GAP Operational Roadmap</t>
  </si>
  <si>
    <t>Budget and Population Targets</t>
  </si>
  <si>
    <t xml:space="preserve">COUNTRY:  DRC </t>
  </si>
  <si>
    <t xml:space="preserve">PRIORITY ACTION </t>
  </si>
  <si>
    <t>TARGET POPULATION</t>
  </si>
  <si>
    <t>U2</t>
  </si>
  <si>
    <t>U5</t>
  </si>
  <si>
    <t>PLW</t>
  </si>
  <si>
    <t>OTHER</t>
  </si>
  <si>
    <t>Outcome 1:  Reduced incidence of Low Birth Weight</t>
  </si>
  <si>
    <t xml:space="preserve">Renforcer la supplementation en fer folate pour les FEFA </t>
  </si>
  <si>
    <t xml:space="preserve">Renforcer la supplementation en fer folate pour les  les adolescentes </t>
  </si>
  <si>
    <t xml:space="preserve">Renforcer le deparasitage de FEFA </t>
  </si>
  <si>
    <t xml:space="preserve">Renforcer le deparasitage des adolescentes
</t>
  </si>
  <si>
    <t>Appuyer l'introduction et la distribution des micronutriments aux femmes enceintes</t>
  </si>
  <si>
    <t xml:space="preserve">Appuyer les espaces de jeunes qui prennent en compte la planification familiale et les competences de vie courantes. 
</t>
  </si>
  <si>
    <t xml:space="preserve">Promouvoir l'utilisation des services de sante reproductives y compris ceux de la planification familiale </t>
  </si>
  <si>
    <t>Appui a l'Elaboration et l'Evaluation du Plan Stratégique de santé et bien-être des adolescents et jeunes,</t>
  </si>
  <si>
    <t>Appuyer la prise en charge de FEFA seropositive</t>
  </si>
  <si>
    <t>Vulgariser les directives de nutrition maternelle au sein dans les differents secteurs du niveau national</t>
  </si>
  <si>
    <t>Plaidoyer pour sensibiliser les bailleurs de fonds et les autres parties prenantes à l'importance de cette approche pour améliorer la nutrition maternelle et infantile.</t>
  </si>
  <si>
    <t>Appuyer les programme de diversification alimentaire, ciblant les femmes enceintes, allaitantes et adolescentes</t>
  </si>
  <si>
    <t>FOOD</t>
  </si>
  <si>
    <t xml:space="preserve">Redynamiser l'alliance pour la fortification alimentaire. </t>
  </si>
  <si>
    <t xml:space="preserve">Developper le partenariat avec le secteur prive pour des systemes alimentaires en faveur de la nutrition </t>
  </si>
  <si>
    <t>Appuyer les programmes de transformation des produits agroalimentaires, l'enrichissement et la bio-fortification des aliments.</t>
  </si>
  <si>
    <t>Distribuer des semences bio fortifiees aux familles vulnerables</t>
  </si>
  <si>
    <t>Appuyer les programmes d’aide alimentaire sensibles à la nutrition  en fonction des besoins nutritionnels propres aux adolescents et aux filles et femmes enceintes et allaitantes.</t>
  </si>
  <si>
    <t>Appuyer la mise a echelle du programme d'Alimentation scolaire en utilisant les produits locaux</t>
  </si>
  <si>
    <t>SOCIAL 
PROTECTION</t>
  </si>
  <si>
    <t>Appuyer la promotion de la Nutrition, la Sante et l'Hygiene dans les etablissement d'enseignments</t>
  </si>
  <si>
    <t>Soutenir les directions d'etudes et planification de differents ministeres sensibles a la nutrition a integrer la nutrition dans leur plans sectoriels.</t>
  </si>
  <si>
    <t xml:space="preserve">Mettre a echelle des programmes de protection sociale pour supporter les ménages lors des chocs et pour la resilience des populations </t>
  </si>
  <si>
    <t>Subtotal:</t>
  </si>
  <si>
    <t>Outcome 2:  Improved Child Health</t>
  </si>
  <si>
    <t xml:space="preserve">Plaidoyer au niveau National et Provincial pour l'amélioration de l'allocation et du decaissement   budgétaire sur la «Nutrition» dans le budget de l'Etat </t>
  </si>
  <si>
    <t>Renforcer la gouvernance multisectorielle au niveau national et décentralisé pour la mise en place et la redynamisation des comités multisectoriel de Nutrition</t>
  </si>
  <si>
    <t>Intégration de la prise en charge de la malnutrition dans les ordinogrammes des soins et dans les guides thérapeutiques développés par le Ministère de la santé, principalement dans la prise en charge des complications médicales de MAS</t>
  </si>
  <si>
    <t xml:space="preserve">Renforcer la Supplémentation en vitamine A tous les 6 mois en routine pour les enfants de 6 à 59 mois   </t>
  </si>
  <si>
    <t xml:space="preserve">Appuyer l'OCC pour le controle de sel iode aux frontieres( distribution de Kits d'iodation) </t>
  </si>
  <si>
    <t xml:space="preserve">Organiser, structurer, et renforcer les capacités des acteurs de chaque filière en associations et/ou en coopératives. </t>
  </si>
  <si>
    <t>Introduire pour chaque filière de races améliorées en milieu rural.</t>
  </si>
  <si>
    <t xml:space="preserve">Réhabiliter et/ou créer, et rendre opérationnels des centres de multiplication des géniteurs. </t>
  </si>
  <si>
    <t xml:space="preserve">Adopter, mettre en œuvre et vulgariser un cadre juridique conforme aux normes sanitaires alimentaires reconnues, notamment dans les dispositions édictées par l’OMC et le codex Alimentarius. </t>
  </si>
  <si>
    <t>Améliorer la gouvernance agricole.</t>
  </si>
  <si>
    <t>Promouvoir l’intégration de l’approche genre et renforcer les capacités humaines et institutionnelles.</t>
  </si>
  <si>
    <t>Mener le plaidoyer pour la creation du Haut conseil de la sécurité alimentaire et nutritionnel, chargé d'élaborer de stratégie de contrôle et de coordonner les activités de nutrition et securite alimentaire.  </t>
  </si>
  <si>
    <t xml:space="preserve">Renforcer la santé animales et végétales pour la détection, la prévention et la lutte contre les maladies animales selon les recommandations RSI (Règlementation Sanitaire Internationale).     </t>
  </si>
  <si>
    <t xml:space="preserve">Ameliorer la recherche agronomique ainsi que la diffusion de technologie appropriee. </t>
  </si>
  <si>
    <t>Outcome 3:  Improved Infant and Young Child Feeding</t>
  </si>
  <si>
    <t xml:space="preserve">Mise a echelle et renforcement des interventions de promotion des pratiques ANJE. </t>
  </si>
  <si>
    <t>Plaidoyer pour l'adoption d'une politique pour la protection de la maternité et de l’allaitement maternel en  milieu de travail.</t>
  </si>
  <si>
    <t>Assurer la vulgarisation du Code international de commercialisation des substituts du lait maternel</t>
  </si>
  <si>
    <t>Renforcer l'application de la méthode « mère kangourou » pour les nouveau-nés malades et de faible poids.</t>
  </si>
  <si>
    <t>Elaborer et Vulgariser une strategie nationale de developpement de la petite enfance pour les structures de sante et la communaute.</t>
  </si>
  <si>
    <t>Mettre en place des centres d'eveil pour la stimulation psycho-affective des enfants au niveau des structures de sante et dans la communaute</t>
  </si>
  <si>
    <t>Suivre et Créer un cadre juridique qui exige la fortification des produits alimentaires de grande consommation.</t>
  </si>
  <si>
    <t>Redynamiser et appuyer le fonctionnement de l'alliance nationale de fortification  des produits alimentaires de grande consommation.</t>
  </si>
  <si>
    <t>Actualiser le plan strategique national de fortification des aliments de grande consommation.</t>
  </si>
  <si>
    <t>Appuyer les petits fermiers et les reseaux du secteur prive en formation et en intrants pour la production des aliments bio fortifies.</t>
  </si>
  <si>
    <t>Appuyer la vulgarisation des Aliments  bio fortifies aupres des menages pour la consommation.</t>
  </si>
  <si>
    <t>Appuyer les menages en intrants agricoles, de peche et elevage en vue de la production diversifiee des aliments.</t>
  </si>
  <si>
    <t>Promouvoir les jardins de case dans les communautes.</t>
  </si>
  <si>
    <t>Doter les menages vulnerables d'intrants et equipements necessaires pour la securite alimentaire.</t>
  </si>
  <si>
    <t>Outcome 4:  Improved treatment of children with wasting</t>
  </si>
  <si>
    <t>Mettre a echelle l'approche simplifiée PCIMA au niveau communautaire, centre de santé et hopital, dans le pays</t>
  </si>
  <si>
    <t>Renforcer la mise à l'échelle des programme de la prise en charge en charge de la malnutrition aigue sévère selon l'approche standard(UNTI,UNTA)</t>
  </si>
  <si>
    <t>Renforcer la mise à l'échelle des programme de la prise en charge en charge de la malnutrition aigue modérée selon l'approche standard(UNS)</t>
  </si>
  <si>
    <t>Integrer le module complementaire nutrition dans le DHIS pour toutes les provinces et ateliers d'analyse, correction des résultats</t>
  </si>
  <si>
    <t>Renforcement du SNSAP au niveau national</t>
  </si>
  <si>
    <t>Réalisation des enquêtes SMART SENS et des couvertures  dans les toutes les zones de santé du pays</t>
  </si>
  <si>
    <t>Engagement dans le SBN en tant qu'initiative visant à contribuer à la sécurité des produits nutritionnels produits localement.  Rationaliser les systèmes de chaîne d'approvisionnement pour la livraison des produits clés nécessaire au traitement de l'émaciation infantile.</t>
  </si>
  <si>
    <t>Suivi des normes strictes d'assurance qualité (AQ). Garantir les normes de sécurité et de qualité des aliments nutritifs spécialisés produits localement nécessaires au traitement de l'émaciation infantile, grâce à une meilleure collaboration avec le secteur privé.  Appuyer les efforts fournis pour prévenir et réduire l’aflatoxine et d’autres toxines dans les aliments thérapeutiques.</t>
  </si>
  <si>
    <t>Promotion du Cash Transfert dans les cantines scolaires ciblant les menages vulnerables</t>
  </si>
  <si>
    <t>TOTAL:</t>
  </si>
  <si>
    <r>
      <t xml:space="preserve">SYSTEM </t>
    </r>
    <r>
      <rPr>
        <b/>
        <sz val="9"/>
        <color theme="0"/>
        <rFont val="Calibri"/>
        <family val="2"/>
        <scheme val="minor"/>
      </rPr>
      <t xml:space="preserve">
(HEALTH, FOOD, WASH, SP)</t>
    </r>
  </si>
  <si>
    <r>
      <t xml:space="preserve">UNIT COST
</t>
    </r>
    <r>
      <rPr>
        <b/>
        <sz val="8"/>
        <color theme="0"/>
        <rFont val="Calibri"/>
        <family val="2"/>
        <scheme val="minor"/>
      </rPr>
      <t>(per year)</t>
    </r>
  </si>
  <si>
    <t>TOTAL (5 Years)</t>
  </si>
  <si>
    <t>TOTAL (1 Year)</t>
  </si>
  <si>
    <t>(per year)</t>
  </si>
  <si>
    <t>(Target Population X Unit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</si>
</sst>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8" formatCode="#,##0;[Red]#,##0"/>
    <numFmt numFmtId="169" formatCode="&quot;$&quot;#,##0;[Red]&quot;$&quot;#,##0"/>
    <numFmt numFmtId="170" formatCode="_(&quot;$&quot;* #,##0_);_(&quot;$&quot;* \(#,##0\);_(&quot;$&quot;* &quot;-&quot;??_);_(@_)"/>
  </numFmts>
  <fonts count="34" x14ac:knownFonts="1">
    <font>
      <sz val="12"/>
      <color theme="1"/>
      <name val="Calibri"/>
      <family val="2"/>
      <scheme val="minor"/>
    </font>
    <font>
      <sz val="12"/>
      <color theme="1"/>
      <name val="Calibri"/>
      <family val="2"/>
      <scheme val="minor"/>
    </font>
    <font>
      <sz val="12"/>
      <color theme="0"/>
      <name val="Calibri"/>
      <family val="2"/>
      <scheme val="minor"/>
    </font>
    <font>
      <b/>
      <sz val="12"/>
      <color theme="1"/>
      <name val="Calibri"/>
      <family val="2"/>
      <scheme val="minor"/>
    </font>
    <font>
      <i/>
      <sz val="11"/>
      <color rgb="FF7F7F7F"/>
      <name val="Calibri"/>
      <family val="2"/>
      <scheme val="minor"/>
    </font>
    <font>
      <b/>
      <sz val="11"/>
      <color theme="1"/>
      <name val="Calibri"/>
      <family val="2"/>
      <scheme val="minor"/>
    </font>
    <font>
      <b/>
      <sz val="16"/>
      <color theme="1"/>
      <name val="Calibri"/>
      <family val="2"/>
      <scheme val="minor"/>
    </font>
    <font>
      <i/>
      <sz val="12"/>
      <color theme="1"/>
      <name val="Calibri"/>
      <family val="2"/>
      <scheme val="minor"/>
    </font>
    <font>
      <sz val="10"/>
      <color theme="1"/>
      <name val="Calibri"/>
      <family val="2"/>
      <scheme val="minor"/>
    </font>
    <font>
      <b/>
      <i/>
      <sz val="12"/>
      <color theme="1"/>
      <name val="Calibri"/>
      <family val="2"/>
      <scheme val="minor"/>
    </font>
    <font>
      <b/>
      <sz val="14"/>
      <color theme="1"/>
      <name val="Calibri"/>
      <family val="2"/>
      <scheme val="minor"/>
    </font>
    <font>
      <b/>
      <i/>
      <sz val="10"/>
      <color theme="1"/>
      <name val="Calibri"/>
      <family val="2"/>
      <scheme val="minor"/>
    </font>
    <font>
      <u/>
      <sz val="12"/>
      <color theme="1"/>
      <name val="Calibri"/>
      <family val="2"/>
      <scheme val="minor"/>
    </font>
    <font>
      <sz val="11"/>
      <color theme="1"/>
      <name val="Calibri"/>
      <family val="2"/>
      <scheme val="minor"/>
    </font>
    <font>
      <b/>
      <sz val="12"/>
      <color theme="0"/>
      <name val="Calibri"/>
      <family val="2"/>
      <scheme val="minor"/>
    </font>
    <font>
      <sz val="12"/>
      <color rgb="FFFF0000"/>
      <name val="Calibri"/>
      <family val="2"/>
      <scheme val="minor"/>
    </font>
    <font>
      <b/>
      <sz val="16"/>
      <color theme="1"/>
      <name val="Helvetica"/>
      <family val="2"/>
    </font>
    <font>
      <b/>
      <sz val="26"/>
      <color theme="1"/>
      <name val="Helvetica"/>
      <family val="2"/>
    </font>
    <font>
      <b/>
      <sz val="26"/>
      <color theme="1"/>
      <name val="Calibri"/>
      <family val="2"/>
      <scheme val="minor"/>
    </font>
    <font>
      <sz val="28"/>
      <color rgb="FF0070C0"/>
      <name val="Calibri"/>
      <family val="2"/>
      <scheme val="minor"/>
    </font>
    <font>
      <sz val="20"/>
      <color rgb="FF0070C0"/>
      <name val="Calibri"/>
      <family val="2"/>
      <scheme val="minor"/>
    </font>
    <font>
      <sz val="14"/>
      <color rgb="FF0070C0"/>
      <name val="Calibri"/>
      <family val="2"/>
      <scheme val="minor"/>
    </font>
    <font>
      <sz val="12"/>
      <color rgb="FF0070C0"/>
      <name val="Calibri"/>
      <family val="2"/>
      <scheme val="minor"/>
    </font>
    <font>
      <sz val="12"/>
      <name val="Calibri"/>
      <family val="2"/>
      <scheme val="minor"/>
    </font>
    <font>
      <b/>
      <sz val="16"/>
      <color rgb="FF0070C0"/>
      <name val="Calibri"/>
      <family val="2"/>
      <scheme val="minor"/>
    </font>
    <font>
      <sz val="24"/>
      <color rgb="FF0070C0"/>
      <name val="Calibri"/>
      <family val="2"/>
      <scheme val="minor"/>
    </font>
    <font>
      <b/>
      <sz val="9"/>
      <color theme="0"/>
      <name val="Calibri"/>
      <family val="2"/>
      <scheme val="minor"/>
    </font>
    <font>
      <b/>
      <sz val="8"/>
      <color theme="0"/>
      <name val="Calibri"/>
      <family val="2"/>
      <scheme val="minor"/>
    </font>
    <font>
      <sz val="12"/>
      <color theme="9" tint="-0.499984740745262"/>
      <name val="Calibri"/>
      <family val="2"/>
      <scheme val="minor"/>
    </font>
    <font>
      <b/>
      <sz val="9"/>
      <color indexed="81"/>
      <name val="Tahoma"/>
      <family val="2"/>
    </font>
    <font>
      <sz val="9"/>
      <color indexed="81"/>
      <name val="Tahoma"/>
      <family val="2"/>
    </font>
    <font>
      <b/>
      <sz val="9"/>
      <color rgb="FF000000"/>
      <name val="Tahoma"/>
      <family val="2"/>
    </font>
    <font>
      <sz val="9"/>
      <color rgb="FF000000"/>
      <name val="Tahoma"/>
      <family val="2"/>
    </font>
    <font>
      <sz val="10"/>
      <color rgb="FF000000"/>
      <name val="Tahoma"/>
      <family val="2"/>
    </font>
  </fonts>
  <fills count="18">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
      <patternFill patternType="solid">
        <fgColor rgb="FF002060"/>
        <bgColor indexed="64"/>
      </patternFill>
    </fill>
    <fill>
      <patternFill patternType="solid">
        <fgColor theme="4" tint="0.79998168889431442"/>
        <bgColor indexed="64"/>
      </patternFill>
    </fill>
    <fill>
      <patternFill patternType="solid">
        <fgColor theme="6" tint="0.79998168889431442"/>
        <bgColor indexed="64"/>
      </patternFill>
    </fill>
    <fill>
      <patternFill patternType="mediumGray">
        <bgColor theme="6" tint="0.79995117038483843"/>
      </patternFill>
    </fill>
    <fill>
      <patternFill patternType="solid">
        <fgColor theme="0" tint="-4.9989318521683403E-2"/>
        <bgColor indexed="64"/>
      </patternFill>
    </fill>
    <fill>
      <patternFill patternType="mediumGray">
        <bgColor theme="6" tint="0.79998168889431442"/>
      </patternFill>
    </fill>
    <fill>
      <patternFill patternType="solid">
        <fgColor theme="4" tint="0.79992065187536243"/>
        <bgColor indexed="64"/>
      </patternFill>
    </fill>
  </fills>
  <borders count="62">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10">
    <xf numFmtId="0" fontId="0" fillId="0" borderId="0"/>
    <xf numFmtId="0" fontId="2"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2"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283">
    <xf numFmtId="0" fontId="0" fillId="0" borderId="0" xfId="0"/>
    <xf numFmtId="0" fontId="3" fillId="0" borderId="3" xfId="0" applyFont="1" applyBorder="1" applyAlignment="1">
      <alignment horizontal="center"/>
    </xf>
    <xf numFmtId="0" fontId="5" fillId="8" borderId="3" xfId="0" applyFont="1" applyFill="1" applyBorder="1" applyAlignment="1">
      <alignment horizontal="center"/>
    </xf>
    <xf numFmtId="0" fontId="0" fillId="0" borderId="19" xfId="0" applyBorder="1" applyAlignment="1">
      <alignment horizontal="center"/>
    </xf>
    <xf numFmtId="0" fontId="0" fillId="0" borderId="0" xfId="0" applyFont="1"/>
    <xf numFmtId="0" fontId="0" fillId="0" borderId="0" xfId="0" applyFont="1" applyAlignment="1">
      <alignment wrapText="1"/>
    </xf>
    <xf numFmtId="0" fontId="6" fillId="0" borderId="0" xfId="0" applyFont="1" applyAlignment="1">
      <alignment vertical="center"/>
    </xf>
    <xf numFmtId="0" fontId="0" fillId="0" borderId="3" xfId="0" applyFont="1" applyBorder="1" applyAlignment="1">
      <alignment horizontal="center"/>
    </xf>
    <xf numFmtId="0" fontId="0" fillId="0" borderId="3" xfId="0" applyFont="1" applyBorder="1" applyAlignment="1">
      <alignment vertical="center" wrapText="1"/>
    </xf>
    <xf numFmtId="0" fontId="0" fillId="0" borderId="0" xfId="0" applyFont="1" applyAlignment="1">
      <alignment horizontal="center"/>
    </xf>
    <xf numFmtId="0" fontId="0" fillId="0" borderId="3" xfId="0" applyFont="1" applyBorder="1" applyAlignment="1">
      <alignment vertical="center"/>
    </xf>
    <xf numFmtId="0" fontId="0" fillId="0" borderId="3" xfId="0" applyFont="1" applyBorder="1" applyAlignment="1">
      <alignment vertical="top" wrapText="1"/>
    </xf>
    <xf numFmtId="0" fontId="6" fillId="0" borderId="0" xfId="0" applyFont="1"/>
    <xf numFmtId="0" fontId="0" fillId="0" borderId="0" xfId="0" applyFont="1" applyAlignment="1">
      <alignment vertical="center" wrapText="1"/>
    </xf>
    <xf numFmtId="0" fontId="0" fillId="8" borderId="3" xfId="0" applyFont="1" applyFill="1" applyBorder="1" applyAlignment="1">
      <alignment vertical="top" wrapText="1"/>
    </xf>
    <xf numFmtId="0" fontId="0" fillId="0" borderId="3" xfId="0" applyFont="1" applyBorder="1" applyAlignment="1">
      <alignment horizontal="left" vertical="top" wrapText="1"/>
    </xf>
    <xf numFmtId="0" fontId="0" fillId="2" borderId="31" xfId="1" applyFont="1" applyBorder="1" applyAlignment="1">
      <alignment horizontal="left" vertical="center"/>
    </xf>
    <xf numFmtId="0" fontId="0" fillId="2" borderId="9" xfId="1" applyFont="1" applyBorder="1" applyAlignment="1">
      <alignment horizontal="left" vertical="center" wrapText="1"/>
    </xf>
    <xf numFmtId="0" fontId="0" fillId="2" borderId="10" xfId="1" applyFont="1" applyBorder="1" applyAlignment="1">
      <alignment horizontal="left" vertical="center" wrapText="1"/>
    </xf>
    <xf numFmtId="0" fontId="3" fillId="10" borderId="3" xfId="1" applyFont="1" applyFill="1" applyBorder="1" applyAlignment="1">
      <alignment horizontal="center" vertical="center" wrapText="1"/>
    </xf>
    <xf numFmtId="0" fontId="7" fillId="0" borderId="21" xfId="0" applyFont="1" applyBorder="1"/>
    <xf numFmtId="0" fontId="0" fillId="0" borderId="22" xfId="0" applyFont="1" applyBorder="1" applyAlignment="1">
      <alignment vertical="center" wrapText="1"/>
    </xf>
    <xf numFmtId="0" fontId="7" fillId="0" borderId="0" xfId="0" applyFont="1" applyAlignment="1">
      <alignment vertical="center" wrapText="1"/>
    </xf>
    <xf numFmtId="0" fontId="0" fillId="8" borderId="3" xfId="0" applyFont="1" applyFill="1" applyBorder="1" applyAlignment="1">
      <alignment vertical="center" wrapText="1"/>
    </xf>
    <xf numFmtId="0" fontId="0" fillId="0" borderId="3" xfId="0" applyFont="1" applyBorder="1" applyAlignment="1">
      <alignment horizontal="left" vertical="center" wrapText="1"/>
    </xf>
    <xf numFmtId="0" fontId="13" fillId="9" borderId="3" xfId="0" applyFont="1" applyFill="1" applyBorder="1" applyAlignment="1">
      <alignment vertical="center" wrapText="1"/>
    </xf>
    <xf numFmtId="0" fontId="13" fillId="9" borderId="22" xfId="0" applyFont="1" applyFill="1" applyBorder="1" applyAlignment="1">
      <alignment vertical="center" wrapText="1"/>
    </xf>
    <xf numFmtId="0" fontId="0" fillId="0" borderId="22" xfId="0" applyFont="1" applyBorder="1" applyAlignment="1">
      <alignment vertical="center"/>
    </xf>
    <xf numFmtId="0" fontId="0" fillId="0" borderId="3" xfId="0" applyFont="1" applyBorder="1" applyAlignment="1">
      <alignment horizontal="center" vertical="top" wrapText="1"/>
    </xf>
    <xf numFmtId="0" fontId="0" fillId="0" borderId="3" xfId="0" applyFont="1" applyBorder="1" applyAlignment="1">
      <alignment wrapText="1"/>
    </xf>
    <xf numFmtId="0" fontId="0" fillId="0" borderId="3" xfId="0" applyFont="1" applyBorder="1"/>
    <xf numFmtId="0" fontId="0" fillId="0" borderId="3" xfId="0" applyFont="1" applyBorder="1" applyAlignment="1">
      <alignment horizontal="left" wrapText="1"/>
    </xf>
    <xf numFmtId="0" fontId="0" fillId="0" borderId="19" xfId="0" applyFont="1" applyBorder="1" applyAlignment="1">
      <alignment horizontal="left" vertical="center" wrapText="1"/>
    </xf>
    <xf numFmtId="0" fontId="0" fillId="0" borderId="22" xfId="0" applyFont="1" applyBorder="1" applyAlignment="1">
      <alignment vertical="top" wrapText="1"/>
    </xf>
    <xf numFmtId="0" fontId="1" fillId="3" borderId="3" xfId="2" applyFont="1" applyBorder="1" applyAlignment="1">
      <alignment horizontal="center" wrapText="1"/>
    </xf>
    <xf numFmtId="0" fontId="1" fillId="6" borderId="19" xfId="5" applyFont="1" applyBorder="1"/>
    <xf numFmtId="0" fontId="1" fillId="6" borderId="3" xfId="5" applyFont="1" applyBorder="1" applyAlignment="1">
      <alignment horizontal="center" vertical="center" wrapText="1"/>
    </xf>
    <xf numFmtId="0" fontId="1" fillId="0" borderId="3" xfId="7" applyFont="1" applyBorder="1" applyAlignment="1">
      <alignment vertical="top" wrapText="1"/>
    </xf>
    <xf numFmtId="0" fontId="0" fillId="0" borderId="1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3" xfId="0" applyFont="1" applyBorder="1" applyAlignment="1">
      <alignment horizontal="left" vertical="top" wrapText="1"/>
    </xf>
    <xf numFmtId="0" fontId="0" fillId="0" borderId="22" xfId="0" applyFont="1" applyBorder="1" applyAlignment="1">
      <alignment horizontal="left" vertical="top" wrapText="1"/>
    </xf>
    <xf numFmtId="0" fontId="0" fillId="0" borderId="3" xfId="0" applyFont="1" applyBorder="1" applyAlignment="1">
      <alignment vertical="center" wrapText="1"/>
    </xf>
    <xf numFmtId="0" fontId="0" fillId="0" borderId="20" xfId="0" applyFont="1" applyBorder="1" applyAlignment="1">
      <alignment vertical="center" wrapText="1"/>
    </xf>
    <xf numFmtId="0" fontId="0" fillId="0" borderId="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5" borderId="19" xfId="4" applyFont="1" applyBorder="1" applyAlignment="1">
      <alignment horizontal="left" vertical="center" wrapText="1"/>
    </xf>
    <xf numFmtId="0" fontId="0" fillId="5" borderId="20" xfId="4" applyFont="1" applyBorder="1" applyAlignment="1">
      <alignment horizontal="left" vertical="center" wrapText="1"/>
    </xf>
    <xf numFmtId="0" fontId="0" fillId="0" borderId="11" xfId="0" applyFont="1" applyBorder="1" applyAlignment="1">
      <alignment horizontal="center" vertical="center" wrapText="1"/>
    </xf>
    <xf numFmtId="0" fontId="0" fillId="5" borderId="21" xfId="4" applyFont="1" applyBorder="1" applyAlignment="1">
      <alignment horizontal="left" vertical="center" wrapText="1"/>
    </xf>
    <xf numFmtId="0" fontId="0" fillId="5" borderId="23" xfId="4" applyFont="1" applyBorder="1" applyAlignment="1">
      <alignment horizontal="left" vertical="center" wrapText="1"/>
    </xf>
    <xf numFmtId="0" fontId="0" fillId="0" borderId="41" xfId="0" applyFont="1" applyBorder="1" applyAlignment="1">
      <alignment horizontal="center" vertical="center" wrapText="1"/>
    </xf>
    <xf numFmtId="0" fontId="0" fillId="2" borderId="24" xfId="1" applyFont="1" applyBorder="1" applyAlignment="1">
      <alignment horizontal="left" vertical="center" wrapText="1"/>
    </xf>
    <xf numFmtId="0" fontId="0" fillId="2" borderId="26" xfId="1" applyFont="1" applyBorder="1" applyAlignment="1">
      <alignment horizontal="left" vertical="center" wrapText="1"/>
    </xf>
    <xf numFmtId="0" fontId="1" fillId="4" borderId="24" xfId="3" applyFont="1" applyBorder="1" applyAlignment="1">
      <alignment horizontal="center" vertical="center"/>
    </xf>
    <xf numFmtId="0" fontId="1" fillId="4" borderId="19" xfId="3" applyFont="1" applyBorder="1" applyAlignment="1">
      <alignment horizontal="center" vertical="center"/>
    </xf>
    <xf numFmtId="0" fontId="8" fillId="4" borderId="25" xfId="3" applyFont="1" applyBorder="1" applyAlignment="1">
      <alignment horizontal="center" vertical="center" wrapText="1"/>
    </xf>
    <xf numFmtId="0" fontId="8" fillId="4" borderId="3" xfId="3" applyFont="1" applyBorder="1" applyAlignment="1">
      <alignment horizontal="center" vertical="center"/>
    </xf>
    <xf numFmtId="0" fontId="0" fillId="0" borderId="22" xfId="0" applyFont="1" applyBorder="1" applyAlignment="1">
      <alignment horizontal="center" vertical="center"/>
    </xf>
    <xf numFmtId="0" fontId="0" fillId="8" borderId="3" xfId="0" applyFont="1" applyFill="1" applyBorder="1" applyAlignment="1">
      <alignment horizontal="center" vertical="top" wrapText="1"/>
    </xf>
    <xf numFmtId="0" fontId="0" fillId="0" borderId="3" xfId="0" applyFont="1" applyBorder="1" applyAlignment="1">
      <alignment horizontal="center" vertical="center"/>
    </xf>
    <xf numFmtId="0" fontId="0" fillId="0" borderId="49" xfId="0" applyFont="1" applyBorder="1" applyAlignment="1">
      <alignment horizontal="center" vertical="center"/>
    </xf>
    <xf numFmtId="0" fontId="0" fillId="0" borderId="31" xfId="0" applyFont="1" applyBorder="1" applyAlignment="1">
      <alignment horizontal="center" vertical="center"/>
    </xf>
    <xf numFmtId="0" fontId="0" fillId="0" borderId="27" xfId="0" applyFont="1" applyBorder="1" applyAlignment="1">
      <alignment horizontal="center" vertical="center"/>
    </xf>
    <xf numFmtId="0" fontId="0" fillId="0" borderId="3" xfId="0" applyFont="1" applyBorder="1" applyAlignment="1">
      <alignment horizontal="center" vertical="top" wrapText="1"/>
    </xf>
    <xf numFmtId="0" fontId="0" fillId="0" borderId="22" xfId="0" applyFont="1" applyBorder="1" applyAlignment="1">
      <alignment horizontal="center" vertical="top" wrapText="1"/>
    </xf>
    <xf numFmtId="0" fontId="1" fillId="6" borderId="3" xfId="5" applyFont="1" applyBorder="1" applyAlignment="1">
      <alignment horizontal="center" vertical="center" wrapText="1"/>
    </xf>
    <xf numFmtId="0" fontId="1" fillId="6" borderId="20" xfId="5" applyFont="1" applyBorder="1" applyAlignment="1">
      <alignment horizontal="center" vertical="center" wrapText="1"/>
    </xf>
    <xf numFmtId="0" fontId="6" fillId="0" borderId="0" xfId="0" applyFont="1" applyAlignment="1">
      <alignment horizontal="left" wrapText="1"/>
    </xf>
    <xf numFmtId="0" fontId="0" fillId="2" borderId="42" xfId="1" applyFont="1" applyBorder="1" applyAlignment="1">
      <alignment horizontal="center" vertical="center" wrapText="1"/>
    </xf>
    <xf numFmtId="0" fontId="0" fillId="2" borderId="25" xfId="1" applyFont="1" applyBorder="1" applyAlignment="1">
      <alignment horizontal="center" vertical="center" wrapText="1"/>
    </xf>
    <xf numFmtId="0" fontId="0" fillId="2" borderId="26" xfId="1" applyFont="1" applyBorder="1" applyAlignment="1">
      <alignment horizontal="center" vertical="center" wrapText="1"/>
    </xf>
    <xf numFmtId="0" fontId="1" fillId="4" borderId="25" xfId="3" applyFont="1" applyBorder="1" applyAlignment="1">
      <alignment horizontal="center"/>
    </xf>
    <xf numFmtId="0" fontId="1" fillId="4" borderId="26" xfId="3" applyFont="1" applyBorder="1" applyAlignment="1">
      <alignment horizontal="center"/>
    </xf>
    <xf numFmtId="0" fontId="1" fillId="3" borderId="3" xfId="2" applyFont="1" applyBorder="1" applyAlignment="1">
      <alignment horizontal="center" wrapText="1"/>
    </xf>
    <xf numFmtId="0" fontId="1" fillId="3" borderId="20" xfId="2" applyFont="1" applyBorder="1" applyAlignment="1">
      <alignment horizontal="center" wrapText="1"/>
    </xf>
    <xf numFmtId="0" fontId="0" fillId="0" borderId="19" xfId="0" applyFont="1" applyBorder="1" applyAlignment="1">
      <alignment horizontal="left" vertical="center"/>
    </xf>
    <xf numFmtId="0" fontId="0" fillId="8" borderId="3" xfId="0" applyFont="1" applyFill="1" applyBorder="1" applyAlignment="1">
      <alignment horizontal="center" vertical="center" wrapText="1"/>
    </xf>
    <xf numFmtId="0" fontId="0" fillId="8" borderId="20" xfId="0" applyFont="1" applyFill="1" applyBorder="1" applyAlignment="1">
      <alignment horizontal="center" vertical="center" wrapText="1"/>
    </xf>
    <xf numFmtId="0" fontId="0" fillId="0" borderId="3" xfId="0" applyFont="1" applyBorder="1" applyAlignment="1">
      <alignment horizontal="left" vertical="center" wrapText="1"/>
    </xf>
    <xf numFmtId="0" fontId="0" fillId="0" borderId="20" xfId="0" applyFont="1" applyBorder="1" applyAlignment="1">
      <alignment horizontal="left" vertical="center" wrapText="1"/>
    </xf>
    <xf numFmtId="0" fontId="0" fillId="7" borderId="21" xfId="6" applyFont="1" applyBorder="1" applyAlignment="1">
      <alignment horizontal="left" vertical="center" wrapText="1"/>
    </xf>
    <xf numFmtId="0" fontId="0" fillId="7" borderId="23" xfId="6" applyFont="1" applyBorder="1" applyAlignment="1">
      <alignment horizontal="left" vertical="center" wrapText="1"/>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1" fillId="4" borderId="25" xfId="3" applyFont="1" applyBorder="1" applyAlignment="1">
      <alignment horizontal="center" vertical="center"/>
    </xf>
    <xf numFmtId="0" fontId="1" fillId="4" borderId="3" xfId="3" applyFont="1" applyBorder="1" applyAlignment="1">
      <alignment horizontal="center" vertical="center"/>
    </xf>
    <xf numFmtId="0" fontId="0" fillId="0" borderId="20" xfId="0" applyFont="1" applyBorder="1" applyAlignment="1">
      <alignment horizontal="center" vertical="top" wrapText="1"/>
    </xf>
    <xf numFmtId="0" fontId="0" fillId="7" borderId="19" xfId="6" applyFont="1" applyBorder="1" applyAlignment="1">
      <alignment horizontal="left" vertical="center" wrapText="1"/>
    </xf>
    <xf numFmtId="0" fontId="0" fillId="7" borderId="20" xfId="6" applyFont="1" applyBorder="1" applyAlignment="1">
      <alignment horizontal="left" vertical="center" wrapText="1"/>
    </xf>
    <xf numFmtId="9"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36" xfId="0" applyFont="1" applyBorder="1" applyAlignment="1">
      <alignment horizontal="center" vertical="center" wrapText="1"/>
    </xf>
    <xf numFmtId="0" fontId="1" fillId="4" borderId="25" xfId="3" applyFont="1" applyBorder="1" applyAlignment="1">
      <alignment horizontal="center" vertical="center" wrapText="1"/>
    </xf>
    <xf numFmtId="0" fontId="1" fillId="4" borderId="26" xfId="3" applyFont="1" applyBorder="1" applyAlignment="1">
      <alignment horizontal="center" vertical="center"/>
    </xf>
    <xf numFmtId="0" fontId="0" fillId="0" borderId="22" xfId="0" applyFont="1" applyBorder="1" applyAlignment="1">
      <alignment horizontal="left" vertical="center" wrapText="1"/>
    </xf>
    <xf numFmtId="0" fontId="0" fillId="0" borderId="3" xfId="0" applyFont="1" applyBorder="1" applyAlignment="1">
      <alignment horizontal="center" vertical="top"/>
    </xf>
    <xf numFmtId="0" fontId="0" fillId="8" borderId="20" xfId="0" applyFont="1" applyFill="1" applyBorder="1" applyAlignment="1">
      <alignment horizontal="center" vertical="top" wrapText="1"/>
    </xf>
    <xf numFmtId="0" fontId="3" fillId="2" borderId="43" xfId="1" applyFont="1" applyBorder="1" applyAlignment="1">
      <alignment horizontal="center" wrapText="1"/>
    </xf>
    <xf numFmtId="0" fontId="3" fillId="2" borderId="44" xfId="1" applyFont="1" applyBorder="1" applyAlignment="1">
      <alignment horizontal="center" wrapText="1"/>
    </xf>
    <xf numFmtId="0" fontId="3" fillId="2" borderId="14" xfId="1" applyFont="1" applyBorder="1" applyAlignment="1">
      <alignment horizontal="center" wrapText="1"/>
    </xf>
    <xf numFmtId="0" fontId="3" fillId="2" borderId="45" xfId="1" applyFont="1" applyBorder="1" applyAlignment="1">
      <alignment horizontal="center" wrapText="1"/>
    </xf>
    <xf numFmtId="0" fontId="3" fillId="2" borderId="46" xfId="1" applyFont="1" applyBorder="1" applyAlignment="1">
      <alignment horizontal="center" wrapText="1"/>
    </xf>
    <xf numFmtId="0" fontId="3" fillId="2" borderId="15" xfId="1" applyFont="1" applyBorder="1" applyAlignment="1">
      <alignment horizontal="center" wrapText="1"/>
    </xf>
    <xf numFmtId="0" fontId="3" fillId="2" borderId="12" xfId="1" applyFont="1" applyBorder="1" applyAlignment="1">
      <alignment horizontal="center" vertical="center" wrapText="1"/>
    </xf>
    <xf numFmtId="0" fontId="3" fillId="2" borderId="44" xfId="1" applyFont="1" applyBorder="1" applyAlignment="1">
      <alignment horizontal="center" vertical="center" wrapText="1"/>
    </xf>
    <xf numFmtId="0" fontId="3" fillId="2" borderId="47" xfId="1" applyFont="1" applyBorder="1" applyAlignment="1">
      <alignment horizontal="center" vertical="center" wrapText="1"/>
    </xf>
    <xf numFmtId="0" fontId="3" fillId="2" borderId="13" xfId="1" applyFont="1" applyBorder="1" applyAlignment="1">
      <alignment horizontal="center" vertical="center" wrapText="1"/>
    </xf>
    <xf numFmtId="0" fontId="3" fillId="2" borderId="46" xfId="1" applyFont="1" applyBorder="1" applyAlignment="1">
      <alignment horizontal="center" vertical="center" wrapText="1"/>
    </xf>
    <xf numFmtId="0" fontId="3" fillId="2" borderId="48" xfId="1" applyFont="1" applyBorder="1" applyAlignment="1">
      <alignment horizontal="center" vertical="center" wrapText="1"/>
    </xf>
    <xf numFmtId="0" fontId="0" fillId="2" borderId="25" xfId="1" applyFont="1" applyBorder="1" applyAlignment="1">
      <alignment horizontal="left" vertical="center" wrapText="1"/>
    </xf>
    <xf numFmtId="0" fontId="3" fillId="2" borderId="25" xfId="1" applyFont="1" applyBorder="1" applyAlignment="1">
      <alignment horizontal="center" vertical="center" wrapText="1"/>
    </xf>
    <xf numFmtId="0" fontId="3" fillId="2" borderId="26" xfId="1" applyFont="1" applyBorder="1" applyAlignment="1">
      <alignment horizontal="center" vertical="center" wrapText="1"/>
    </xf>
    <xf numFmtId="0" fontId="0" fillId="2" borderId="19" xfId="1" applyFont="1" applyBorder="1" applyAlignment="1">
      <alignment horizontal="left" vertical="center" wrapText="1"/>
    </xf>
    <xf numFmtId="0" fontId="0" fillId="2" borderId="3" xfId="1" applyFont="1" applyBorder="1" applyAlignment="1">
      <alignment horizontal="left" vertical="center" wrapText="1"/>
    </xf>
    <xf numFmtId="0" fontId="3" fillId="2" borderId="3" xfId="1" applyFont="1" applyBorder="1" applyAlignment="1">
      <alignment horizontal="center" vertical="center" wrapText="1"/>
    </xf>
    <xf numFmtId="0" fontId="3" fillId="2" borderId="20" xfId="1" applyFont="1" applyBorder="1" applyAlignment="1">
      <alignment horizontal="center" vertical="center" wrapText="1"/>
    </xf>
    <xf numFmtId="0" fontId="0" fillId="7" borderId="22" xfId="6" applyFont="1" applyBorder="1" applyAlignment="1">
      <alignment horizontal="left"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0" fillId="2" borderId="20" xfId="1" applyFont="1" applyBorder="1" applyAlignment="1">
      <alignment horizontal="left" vertical="center" wrapText="1"/>
    </xf>
    <xf numFmtId="0" fontId="10" fillId="2" borderId="16" xfId="1" applyFont="1" applyBorder="1" applyAlignment="1">
      <alignment horizontal="center"/>
    </xf>
    <xf numFmtId="0" fontId="10" fillId="2" borderId="17" xfId="1" applyFont="1" applyBorder="1" applyAlignment="1">
      <alignment horizontal="center"/>
    </xf>
    <xf numFmtId="0" fontId="10" fillId="2" borderId="18" xfId="1" applyFont="1" applyBorder="1" applyAlignment="1">
      <alignment horizontal="center"/>
    </xf>
    <xf numFmtId="0" fontId="0" fillId="2" borderId="35" xfId="1" applyFont="1" applyBorder="1" applyAlignment="1">
      <alignment horizontal="left" vertical="center"/>
    </xf>
    <xf numFmtId="0" fontId="0" fillId="2" borderId="31" xfId="1" applyFont="1" applyBorder="1" applyAlignment="1">
      <alignment horizontal="left" vertical="center"/>
    </xf>
    <xf numFmtId="0" fontId="0" fillId="2" borderId="27" xfId="1" applyFont="1" applyBorder="1" applyAlignment="1">
      <alignment horizontal="left" vertical="center"/>
    </xf>
    <xf numFmtId="0" fontId="0" fillId="6" borderId="52" xfId="5" applyFont="1" applyBorder="1" applyAlignment="1">
      <alignment horizontal="left" vertical="top" wrapText="1"/>
    </xf>
    <xf numFmtId="0" fontId="0" fillId="6" borderId="53" xfId="5" applyFont="1" applyBorder="1" applyAlignment="1">
      <alignment horizontal="left" vertical="top" wrapText="1"/>
    </xf>
    <xf numFmtId="0" fontId="0" fillId="6" borderId="55" xfId="5" applyFont="1" applyBorder="1" applyAlignment="1">
      <alignment horizontal="left" vertical="top" wrapText="1"/>
    </xf>
    <xf numFmtId="0" fontId="0" fillId="6" borderId="54" xfId="5" applyFont="1" applyBorder="1" applyAlignment="1">
      <alignment horizontal="left" vertical="top" wrapText="1"/>
    </xf>
    <xf numFmtId="0" fontId="0" fillId="6" borderId="50" xfId="5" applyFont="1" applyBorder="1" applyAlignment="1">
      <alignment horizontal="left" vertical="top" wrapText="1"/>
    </xf>
    <xf numFmtId="0" fontId="0" fillId="6" borderId="51" xfId="5" applyFont="1" applyBorder="1" applyAlignment="1">
      <alignment horizontal="left" vertical="top" wrapText="1"/>
    </xf>
    <xf numFmtId="0" fontId="7" fillId="0" borderId="37" xfId="0" applyFont="1" applyBorder="1" applyAlignment="1">
      <alignment horizontal="center"/>
    </xf>
    <xf numFmtId="0" fontId="7" fillId="0" borderId="39" xfId="0" applyFont="1" applyBorder="1" applyAlignment="1">
      <alignment horizontal="center"/>
    </xf>
    <xf numFmtId="0" fontId="7" fillId="0" borderId="41" xfId="0" applyFont="1" applyBorder="1" applyAlignment="1">
      <alignment horizontal="center"/>
    </xf>
    <xf numFmtId="0" fontId="7" fillId="0" borderId="39" xfId="0" applyFont="1" applyBorder="1" applyAlignment="1">
      <alignment horizontal="center" vertical="center" wrapText="1"/>
    </xf>
    <xf numFmtId="0" fontId="7" fillId="0" borderId="38" xfId="0" applyFont="1" applyBorder="1" applyAlignment="1">
      <alignment horizontal="center" vertical="center" wrapText="1"/>
    </xf>
    <xf numFmtId="0" fontId="0" fillId="2" borderId="17" xfId="1" applyFont="1" applyBorder="1" applyAlignment="1">
      <alignment horizontal="center" vertical="center" wrapText="1"/>
    </xf>
    <xf numFmtId="0" fontId="0" fillId="2" borderId="18" xfId="1" applyFont="1" applyBorder="1" applyAlignment="1">
      <alignment horizontal="center" vertical="center" wrapText="1"/>
    </xf>
    <xf numFmtId="9" fontId="7" fillId="0" borderId="22" xfId="0" applyNumberFormat="1"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8" fillId="0" borderId="19" xfId="0" applyFont="1" applyBorder="1" applyAlignment="1">
      <alignment horizontal="left" vertical="center" wrapText="1"/>
    </xf>
    <xf numFmtId="0" fontId="0" fillId="8" borderId="9" xfId="0" applyFont="1" applyFill="1" applyBorder="1" applyAlignment="1">
      <alignment horizontal="center"/>
    </xf>
    <xf numFmtId="0" fontId="0" fillId="8" borderId="10" xfId="0" applyFont="1" applyFill="1" applyBorder="1" applyAlignment="1">
      <alignment horizontal="center"/>
    </xf>
    <xf numFmtId="0" fontId="0" fillId="8" borderId="11" xfId="0" applyFont="1" applyFill="1" applyBorder="1" applyAlignment="1">
      <alignment horizontal="center"/>
    </xf>
    <xf numFmtId="0" fontId="7" fillId="0" borderId="49" xfId="0" applyFont="1" applyBorder="1" applyAlignment="1">
      <alignment horizontal="center" vertical="center" wrapText="1"/>
    </xf>
    <xf numFmtId="0" fontId="7" fillId="0" borderId="31" xfId="0" applyFont="1" applyBorder="1" applyAlignment="1">
      <alignment horizontal="center" vertical="center" wrapText="1"/>
    </xf>
    <xf numFmtId="0" fontId="5" fillId="8" borderId="9" xfId="0" applyFont="1" applyFill="1" applyBorder="1" applyAlignment="1">
      <alignment horizontal="center"/>
    </xf>
    <xf numFmtId="0" fontId="5" fillId="8" borderId="10" xfId="0" applyFont="1" applyFill="1" applyBorder="1" applyAlignment="1">
      <alignment horizontal="center"/>
    </xf>
    <xf numFmtId="0" fontId="5" fillId="8" borderId="11" xfId="0" applyFont="1" applyFill="1" applyBorder="1" applyAlignment="1">
      <alignment horizontal="center"/>
    </xf>
    <xf numFmtId="0" fontId="0" fillId="6" borderId="32" xfId="5" applyFont="1" applyBorder="1" applyAlignment="1">
      <alignment horizontal="left" vertical="center" wrapText="1"/>
    </xf>
    <xf numFmtId="0" fontId="0" fillId="6" borderId="33" xfId="5" applyFont="1" applyBorder="1" applyAlignment="1">
      <alignment horizontal="left" vertical="center" wrapText="1"/>
    </xf>
    <xf numFmtId="0" fontId="0" fillId="6" borderId="56" xfId="5" applyFont="1" applyBorder="1" applyAlignment="1">
      <alignment horizontal="left" vertical="center" wrapText="1"/>
    </xf>
    <xf numFmtId="0" fontId="3" fillId="2" borderId="17" xfId="1" applyFont="1" applyBorder="1" applyAlignment="1">
      <alignment horizontal="center" vertical="center" wrapText="1"/>
    </xf>
    <xf numFmtId="0" fontId="3" fillId="2" borderId="18" xfId="1" applyFont="1" applyBorder="1" applyAlignment="1">
      <alignment horizontal="center" vertical="center" wrapText="1"/>
    </xf>
    <xf numFmtId="0" fontId="7" fillId="0" borderId="40" xfId="0" applyFont="1" applyBorder="1" applyAlignment="1">
      <alignment horizontal="center"/>
    </xf>
    <xf numFmtId="0" fontId="7" fillId="0" borderId="38" xfId="0" applyFont="1" applyBorder="1" applyAlignment="1">
      <alignment horizontal="center"/>
    </xf>
    <xf numFmtId="0" fontId="0" fillId="7" borderId="43" xfId="6" applyFont="1" applyBorder="1" applyAlignment="1">
      <alignment horizontal="left" vertical="center" wrapText="1"/>
    </xf>
    <xf numFmtId="0" fontId="0" fillId="7" borderId="44" xfId="6" applyFont="1" applyBorder="1" applyAlignment="1">
      <alignment horizontal="left" vertical="center" wrapText="1"/>
    </xf>
    <xf numFmtId="0" fontId="7" fillId="0" borderId="22" xfId="0" applyFont="1" applyBorder="1" applyAlignment="1">
      <alignment horizontal="left"/>
    </xf>
    <xf numFmtId="0" fontId="7" fillId="0" borderId="23" xfId="0" applyFont="1" applyBorder="1" applyAlignment="1">
      <alignment horizontal="left"/>
    </xf>
    <xf numFmtId="0" fontId="0" fillId="0" borderId="3" xfId="0" applyFont="1" applyBorder="1" applyAlignment="1">
      <alignment horizontal="left" vertical="center"/>
    </xf>
    <xf numFmtId="0" fontId="0" fillId="0" borderId="20" xfId="0" applyFont="1" applyBorder="1" applyAlignment="1">
      <alignment horizontal="left" vertical="center"/>
    </xf>
    <xf numFmtId="0" fontId="0" fillId="0" borderId="3" xfId="0" applyFont="1" applyBorder="1" applyAlignment="1">
      <alignment horizontal="center"/>
    </xf>
    <xf numFmtId="0" fontId="1" fillId="4" borderId="25" xfId="3" applyFont="1" applyBorder="1" applyAlignment="1">
      <alignment horizontal="center" wrapText="1"/>
    </xf>
    <xf numFmtId="9" fontId="7" fillId="0" borderId="9" xfId="0" applyNumberFormat="1" applyFont="1" applyBorder="1" applyAlignment="1">
      <alignment horizontal="center" vertical="center" wrapText="1"/>
    </xf>
    <xf numFmtId="0" fontId="0" fillId="0" borderId="23" xfId="0" applyFont="1" applyBorder="1" applyAlignment="1">
      <alignment horizontal="center" vertical="top" wrapText="1"/>
    </xf>
    <xf numFmtId="0" fontId="0" fillId="0" borderId="20" xfId="0" applyFont="1" applyBorder="1" applyAlignment="1">
      <alignment horizontal="center"/>
    </xf>
    <xf numFmtId="0" fontId="17" fillId="0" borderId="0" xfId="0" applyFont="1" applyAlignment="1">
      <alignment horizontal="center" vertical="center"/>
    </xf>
    <xf numFmtId="0" fontId="16" fillId="0" borderId="0" xfId="0" applyFont="1" applyAlignment="1">
      <alignment horizontal="center"/>
    </xf>
    <xf numFmtId="0" fontId="18" fillId="0" borderId="0" xfId="0" applyFont="1" applyAlignment="1">
      <alignment horizontal="center" vertical="center"/>
    </xf>
    <xf numFmtId="0" fontId="19" fillId="0" borderId="0" xfId="0" applyFont="1"/>
    <xf numFmtId="0" fontId="20" fillId="0" borderId="0" xfId="0" applyFont="1"/>
    <xf numFmtId="0" fontId="21" fillId="0" borderId="0" xfId="0" applyFont="1"/>
    <xf numFmtId="0" fontId="0" fillId="0" borderId="3" xfId="0" applyBorder="1" applyAlignment="1">
      <alignment vertical="top" wrapText="1"/>
    </xf>
    <xf numFmtId="0" fontId="23" fillId="0" borderId="3" xfId="0" applyFont="1" applyBorder="1" applyAlignment="1">
      <alignment vertical="top" wrapText="1"/>
    </xf>
    <xf numFmtId="0" fontId="0" fillId="0" borderId="28" xfId="0" applyBorder="1" applyAlignment="1">
      <alignment horizontal="center" vertical="center"/>
    </xf>
    <xf numFmtId="169" fontId="0" fillId="0" borderId="3" xfId="0" applyNumberFormat="1" applyBorder="1" applyAlignment="1">
      <alignment horizontal="center" vertical="center"/>
    </xf>
    <xf numFmtId="169" fontId="23" fillId="0" borderId="3" xfId="0" applyNumberFormat="1" applyFont="1" applyBorder="1" applyAlignment="1">
      <alignment horizontal="center" vertical="center"/>
    </xf>
    <xf numFmtId="168" fontId="15" fillId="0" borderId="45" xfId="0" applyNumberFormat="1" applyFont="1" applyBorder="1" applyAlignment="1">
      <alignment horizontal="center" vertical="top" wrapText="1"/>
    </xf>
    <xf numFmtId="168" fontId="0" fillId="0" borderId="61" xfId="0" applyNumberFormat="1" applyBorder="1" applyAlignment="1">
      <alignment horizontal="center"/>
    </xf>
    <xf numFmtId="0" fontId="0" fillId="0" borderId="28" xfId="0" applyBorder="1" applyAlignment="1">
      <alignment horizontal="center" vertical="center" wrapText="1"/>
    </xf>
    <xf numFmtId="44" fontId="1" fillId="0" borderId="0" xfId="9" applyFont="1"/>
    <xf numFmtId="0" fontId="25" fillId="0" borderId="0" xfId="0" applyFont="1"/>
    <xf numFmtId="0" fontId="3" fillId="0" borderId="0" xfId="0" applyFont="1"/>
    <xf numFmtId="0" fontId="14" fillId="11" borderId="52" xfId="0" applyFont="1" applyFill="1" applyBorder="1" applyAlignment="1">
      <alignment horizontal="left"/>
    </xf>
    <xf numFmtId="0" fontId="14" fillId="11" borderId="7" xfId="0" applyFont="1" applyFill="1" applyBorder="1" applyAlignment="1">
      <alignment horizontal="left" wrapText="1"/>
    </xf>
    <xf numFmtId="0" fontId="14" fillId="11" borderId="52" xfId="0" applyFont="1" applyFill="1" applyBorder="1" applyAlignment="1">
      <alignment horizontal="center"/>
    </xf>
    <xf numFmtId="0" fontId="14" fillId="11" borderId="53" xfId="0" applyFont="1" applyFill="1" applyBorder="1" applyAlignment="1">
      <alignment horizontal="center"/>
    </xf>
    <xf numFmtId="0" fontId="14" fillId="11" borderId="55" xfId="0" applyFont="1" applyFill="1" applyBorder="1" applyAlignment="1">
      <alignment horizontal="center"/>
    </xf>
    <xf numFmtId="44" fontId="14" fillId="11" borderId="7" xfId="9" applyFont="1" applyFill="1" applyBorder="1" applyAlignment="1">
      <alignment wrapText="1"/>
    </xf>
    <xf numFmtId="44" fontId="14" fillId="11" borderId="53" xfId="9" applyFont="1" applyFill="1" applyBorder="1" applyAlignment="1"/>
    <xf numFmtId="44" fontId="14" fillId="11" borderId="59" xfId="9" applyFont="1" applyFill="1" applyBorder="1" applyAlignment="1"/>
    <xf numFmtId="0" fontId="0" fillId="0" borderId="0" xfId="0" applyAlignment="1">
      <alignment horizontal="center"/>
    </xf>
    <xf numFmtId="0" fontId="14" fillId="11" borderId="57" xfId="0" applyFont="1" applyFill="1" applyBorder="1" applyAlignment="1">
      <alignment horizontal="left"/>
    </xf>
    <xf numFmtId="0" fontId="14" fillId="11" borderId="5" xfId="0" applyFont="1" applyFill="1" applyBorder="1" applyAlignment="1">
      <alignment horizontal="left" wrapText="1"/>
    </xf>
    <xf numFmtId="0" fontId="26" fillId="11" borderId="57" xfId="0" applyFont="1" applyFill="1" applyBorder="1" applyAlignment="1">
      <alignment horizontal="center"/>
    </xf>
    <xf numFmtId="0" fontId="26" fillId="11" borderId="0" xfId="0" applyFont="1" applyFill="1" applyAlignment="1">
      <alignment horizontal="center"/>
    </xf>
    <xf numFmtId="0" fontId="26" fillId="11" borderId="58" xfId="0" applyFont="1" applyFill="1" applyBorder="1" applyAlignment="1">
      <alignment horizontal="center"/>
    </xf>
    <xf numFmtId="44" fontId="26" fillId="11" borderId="5" xfId="9" applyFont="1" applyFill="1" applyBorder="1" applyAlignment="1"/>
    <xf numFmtId="44" fontId="26" fillId="11" borderId="0" xfId="9" applyFont="1" applyFill="1" applyBorder="1" applyAlignment="1"/>
    <xf numFmtId="44" fontId="26" fillId="11" borderId="29" xfId="9" applyFont="1" applyFill="1" applyBorder="1" applyAlignment="1"/>
    <xf numFmtId="0" fontId="22" fillId="12" borderId="54" xfId="0" applyFont="1" applyFill="1" applyBorder="1"/>
    <xf numFmtId="0" fontId="22" fillId="12" borderId="2" xfId="0" applyFont="1" applyFill="1" applyBorder="1"/>
    <xf numFmtId="0" fontId="0" fillId="12" borderId="54" xfId="0" applyFill="1" applyBorder="1"/>
    <xf numFmtId="0" fontId="0" fillId="12" borderId="50" xfId="0" applyFill="1" applyBorder="1"/>
    <xf numFmtId="0" fontId="0" fillId="12" borderId="51" xfId="0" applyFill="1" applyBorder="1"/>
    <xf numFmtId="0" fontId="0" fillId="12" borderId="2" xfId="0" applyFill="1" applyBorder="1"/>
    <xf numFmtId="44" fontId="1" fillId="12" borderId="50" xfId="9" applyFont="1" applyFill="1" applyBorder="1"/>
    <xf numFmtId="44" fontId="1" fillId="12" borderId="30" xfId="9" applyFont="1" applyFill="1" applyBorder="1"/>
    <xf numFmtId="0" fontId="0" fillId="0" borderId="3" xfId="0" applyBorder="1" applyAlignment="1">
      <alignment horizontal="center" vertical="center"/>
    </xf>
    <xf numFmtId="0" fontId="0" fillId="8" borderId="3" xfId="0" applyFill="1" applyBorder="1" applyAlignment="1">
      <alignment horizontal="center" vertical="center"/>
    </xf>
    <xf numFmtId="168" fontId="0" fillId="8" borderId="3" xfId="0" applyNumberFormat="1" applyFill="1" applyBorder="1" applyAlignment="1">
      <alignment horizontal="center" vertical="center"/>
    </xf>
    <xf numFmtId="168" fontId="0" fillId="0" borderId="3" xfId="0" applyNumberFormat="1" applyBorder="1" applyAlignment="1">
      <alignment horizontal="center" vertical="center"/>
    </xf>
    <xf numFmtId="170" fontId="23" fillId="0" borderId="9" xfId="9" applyNumberFormat="1" applyFont="1" applyBorder="1" applyAlignment="1">
      <alignment horizontal="center" vertical="center"/>
    </xf>
    <xf numFmtId="170" fontId="23" fillId="0" borderId="28" xfId="9" applyNumberFormat="1" applyFont="1" applyBorder="1" applyAlignment="1">
      <alignment horizontal="center" vertical="center"/>
    </xf>
    <xf numFmtId="170" fontId="23" fillId="0" borderId="29" xfId="9" applyNumberFormat="1" applyFont="1" applyBorder="1" applyAlignment="1">
      <alignment horizontal="center" vertical="center"/>
    </xf>
    <xf numFmtId="0" fontId="23" fillId="0" borderId="3" xfId="0" applyFont="1" applyBorder="1" applyAlignment="1">
      <alignment horizontal="center" vertical="center"/>
    </xf>
    <xf numFmtId="0" fontId="15" fillId="0" borderId="3" xfId="0" applyFont="1" applyBorder="1" applyAlignment="1">
      <alignment horizontal="center" vertical="center"/>
    </xf>
    <xf numFmtId="168" fontId="15" fillId="0" borderId="3" xfId="0" applyNumberFormat="1" applyFont="1" applyBorder="1" applyAlignment="1">
      <alignment horizontal="center" vertical="center"/>
    </xf>
    <xf numFmtId="168" fontId="23" fillId="0" borderId="3" xfId="0" applyNumberFormat="1" applyFont="1" applyBorder="1" applyAlignment="1">
      <alignment horizontal="center" vertical="center"/>
    </xf>
    <xf numFmtId="168" fontId="23" fillId="8" borderId="3" xfId="0" applyNumberFormat="1" applyFont="1" applyFill="1" applyBorder="1" applyAlignment="1">
      <alignment horizontal="center" vertical="center"/>
    </xf>
    <xf numFmtId="0" fontId="0" fillId="0" borderId="3" xfId="0" applyBorder="1" applyAlignment="1">
      <alignment horizontal="center" vertical="center" wrapText="1"/>
    </xf>
    <xf numFmtId="170" fontId="23" fillId="0" borderId="34" xfId="9" applyNumberFormat="1" applyFont="1" applyBorder="1" applyAlignment="1">
      <alignment horizontal="center" vertical="center"/>
    </xf>
    <xf numFmtId="0" fontId="0" fillId="13" borderId="6" xfId="0" applyFill="1" applyBorder="1" applyAlignment="1">
      <alignment horizontal="right"/>
    </xf>
    <xf numFmtId="0" fontId="0" fillId="14" borderId="60" xfId="0" applyFill="1" applyBorder="1" applyAlignment="1">
      <alignment horizontal="center"/>
    </xf>
    <xf numFmtId="0" fontId="0" fillId="14" borderId="6" xfId="0" applyFill="1" applyBorder="1"/>
    <xf numFmtId="168" fontId="0" fillId="14" borderId="4" xfId="0" applyNumberFormat="1" applyFill="1" applyBorder="1" applyAlignment="1">
      <alignment horizontal="center"/>
    </xf>
    <xf numFmtId="168" fontId="0" fillId="14" borderId="1" xfId="0" applyNumberFormat="1" applyFill="1" applyBorder="1" applyAlignment="1">
      <alignment horizontal="center"/>
    </xf>
    <xf numFmtId="169" fontId="0" fillId="14" borderId="60" xfId="0" applyNumberFormat="1" applyFill="1" applyBorder="1"/>
    <xf numFmtId="44" fontId="1" fillId="13" borderId="4" xfId="9" applyFont="1" applyFill="1" applyBorder="1" applyAlignment="1">
      <alignment horizontal="center"/>
    </xf>
    <xf numFmtId="170" fontId="23" fillId="15" borderId="60" xfId="9" applyNumberFormat="1" applyFont="1" applyFill="1" applyBorder="1" applyAlignment="1">
      <alignment horizontal="center" vertical="center"/>
    </xf>
    <xf numFmtId="0" fontId="22" fillId="12" borderId="6" xfId="0" applyFont="1" applyFill="1" applyBorder="1"/>
    <xf numFmtId="0" fontId="22" fillId="12" borderId="60" xfId="0" applyFont="1" applyFill="1" applyBorder="1" applyAlignment="1">
      <alignment horizontal="center"/>
    </xf>
    <xf numFmtId="0" fontId="0" fillId="12" borderId="6" xfId="0" applyFill="1" applyBorder="1"/>
    <xf numFmtId="168" fontId="0" fillId="12" borderId="4" xfId="0" applyNumberFormat="1" applyFill="1" applyBorder="1" applyAlignment="1">
      <alignment horizontal="center"/>
    </xf>
    <xf numFmtId="168" fontId="0" fillId="12" borderId="1" xfId="0" applyNumberFormat="1" applyFill="1" applyBorder="1" applyAlignment="1">
      <alignment horizontal="center"/>
    </xf>
    <xf numFmtId="0" fontId="0" fillId="12" borderId="60" xfId="0" applyFill="1" applyBorder="1"/>
    <xf numFmtId="44" fontId="1" fillId="12" borderId="4" xfId="9" applyFont="1" applyFill="1" applyBorder="1" applyAlignment="1">
      <alignment horizontal="center"/>
    </xf>
    <xf numFmtId="170" fontId="23" fillId="12" borderId="60" xfId="9" applyNumberFormat="1" applyFont="1" applyFill="1" applyBorder="1" applyAlignment="1">
      <alignment horizontal="center" vertical="center"/>
    </xf>
    <xf numFmtId="44" fontId="23" fillId="0" borderId="9" xfId="9" applyFont="1" applyBorder="1" applyAlignment="1">
      <alignment horizontal="center" vertical="center"/>
    </xf>
    <xf numFmtId="168" fontId="1" fillId="0" borderId="3" xfId="8" applyNumberFormat="1" applyFont="1" applyBorder="1" applyAlignment="1">
      <alignment horizontal="center" vertical="center"/>
    </xf>
    <xf numFmtId="43" fontId="1" fillId="0" borderId="3" xfId="8" applyFont="1" applyBorder="1" applyAlignment="1">
      <alignment horizontal="center" vertical="center"/>
    </xf>
    <xf numFmtId="0" fontId="23" fillId="8" borderId="3" xfId="0" applyFont="1" applyFill="1" applyBorder="1" applyAlignment="1">
      <alignment horizontal="left" vertical="top" wrapText="1"/>
    </xf>
    <xf numFmtId="1" fontId="0" fillId="0" borderId="3" xfId="0" applyNumberFormat="1" applyBorder="1" applyAlignment="1">
      <alignment horizontal="center" vertical="center"/>
    </xf>
    <xf numFmtId="43" fontId="23" fillId="0" borderId="3" xfId="0" applyNumberFormat="1" applyFont="1" applyBorder="1" applyAlignment="1">
      <alignment horizontal="center" vertical="center"/>
    </xf>
    <xf numFmtId="0" fontId="23" fillId="8" borderId="3" xfId="0" applyFont="1" applyFill="1" applyBorder="1" applyAlignment="1">
      <alignment vertical="top" wrapText="1"/>
    </xf>
    <xf numFmtId="0" fontId="0" fillId="16" borderId="60" xfId="0" applyFill="1" applyBorder="1" applyAlignment="1">
      <alignment horizontal="center"/>
    </xf>
    <xf numFmtId="0" fontId="0" fillId="16" borderId="6" xfId="0" applyFill="1" applyBorder="1"/>
    <xf numFmtId="168" fontId="0" fillId="16" borderId="4" xfId="0" applyNumberFormat="1" applyFill="1" applyBorder="1" applyAlignment="1">
      <alignment horizontal="center"/>
    </xf>
    <xf numFmtId="168" fontId="0" fillId="16" borderId="1" xfId="0" applyNumberFormat="1" applyFill="1" applyBorder="1" applyAlignment="1">
      <alignment horizontal="center"/>
    </xf>
    <xf numFmtId="169" fontId="0" fillId="16" borderId="60" xfId="0" applyNumberFormat="1" applyFill="1" applyBorder="1"/>
    <xf numFmtId="170" fontId="1" fillId="13" borderId="4" xfId="9" applyNumberFormat="1" applyFont="1" applyFill="1" applyBorder="1" applyAlignment="1">
      <alignment horizontal="center"/>
    </xf>
    <xf numFmtId="0" fontId="0" fillId="0" borderId="27" xfId="0" applyBorder="1" applyAlignment="1">
      <alignment horizontal="center"/>
    </xf>
    <xf numFmtId="168" fontId="0" fillId="0" borderId="8" xfId="0" applyNumberFormat="1" applyBorder="1" applyAlignment="1">
      <alignment horizontal="center"/>
    </xf>
    <xf numFmtId="168" fontId="0" fillId="0" borderId="3" xfId="0" applyNumberFormat="1" applyBorder="1" applyAlignment="1">
      <alignment horizontal="center"/>
    </xf>
    <xf numFmtId="168" fontId="0" fillId="0" borderId="20" xfId="0" applyNumberFormat="1" applyBorder="1" applyAlignment="1">
      <alignment horizontal="center"/>
    </xf>
    <xf numFmtId="0" fontId="28" fillId="0" borderId="9" xfId="0" applyFont="1" applyBorder="1" applyAlignment="1">
      <alignment horizontal="center" vertical="center"/>
    </xf>
    <xf numFmtId="168" fontId="28" fillId="0" borderId="3" xfId="0" applyNumberFormat="1" applyFont="1" applyBorder="1" applyAlignment="1">
      <alignment horizontal="center" vertical="center"/>
    </xf>
    <xf numFmtId="0" fontId="0" fillId="0" borderId="3" xfId="0" applyBorder="1" applyAlignment="1">
      <alignment horizontal="center" vertical="top" wrapText="1"/>
    </xf>
    <xf numFmtId="168" fontId="0" fillId="0" borderId="3" xfId="0" applyNumberFormat="1" applyBorder="1" applyAlignment="1">
      <alignment horizontal="center" vertical="top" wrapText="1"/>
    </xf>
    <xf numFmtId="168" fontId="0" fillId="0" borderId="3" xfId="0" applyNumberFormat="1" applyBorder="1" applyAlignment="1">
      <alignment horizontal="center" vertical="center" wrapText="1"/>
    </xf>
    <xf numFmtId="170" fontId="0" fillId="0" borderId="9" xfId="9" applyNumberFormat="1" applyFont="1" applyBorder="1" applyAlignment="1">
      <alignment horizontal="center" vertical="center"/>
    </xf>
    <xf numFmtId="170" fontId="0" fillId="0" borderId="12" xfId="9" applyNumberFormat="1" applyFont="1" applyBorder="1" applyAlignment="1">
      <alignment horizontal="center" vertical="center"/>
    </xf>
    <xf numFmtId="0" fontId="0" fillId="13" borderId="54" xfId="0" applyFill="1" applyBorder="1" applyAlignment="1">
      <alignment horizontal="right"/>
    </xf>
    <xf numFmtId="0" fontId="0" fillId="14" borderId="2" xfId="0" applyFill="1" applyBorder="1"/>
    <xf numFmtId="0" fontId="0" fillId="14" borderId="54" xfId="0" applyFill="1" applyBorder="1"/>
    <xf numFmtId="0" fontId="0" fillId="14" borderId="50" xfId="0" applyFill="1" applyBorder="1"/>
    <xf numFmtId="0" fontId="0" fillId="14" borderId="51" xfId="0" applyFill="1" applyBorder="1"/>
    <xf numFmtId="169" fontId="0" fillId="14" borderId="2" xfId="0" applyNumberFormat="1" applyFill="1" applyBorder="1"/>
    <xf numFmtId="44" fontId="1" fillId="13" borderId="60" xfId="9" applyFont="1" applyFill="1" applyBorder="1" applyAlignment="1">
      <alignment horizontal="center"/>
    </xf>
    <xf numFmtId="0" fontId="24" fillId="12" borderId="6" xfId="0" applyFont="1" applyFill="1" applyBorder="1" applyAlignment="1">
      <alignment horizontal="right"/>
    </xf>
    <xf numFmtId="0" fontId="22" fillId="17" borderId="60" xfId="0" applyFont="1" applyFill="1" applyBorder="1"/>
    <xf numFmtId="0" fontId="22" fillId="17" borderId="6" xfId="0" applyFont="1" applyFill="1" applyBorder="1"/>
    <xf numFmtId="0" fontId="22" fillId="17" borderId="4" xfId="0" applyFont="1" applyFill="1" applyBorder="1"/>
    <xf numFmtId="0" fontId="22" fillId="17" borderId="1" xfId="0" applyFont="1" applyFill="1" applyBorder="1"/>
    <xf numFmtId="169" fontId="22" fillId="17" borderId="60" xfId="0" applyNumberFormat="1" applyFont="1" applyFill="1" applyBorder="1"/>
    <xf numFmtId="169" fontId="22" fillId="17" borderId="6" xfId="0" applyNumberFormat="1" applyFont="1" applyFill="1" applyBorder="1"/>
    <xf numFmtId="170" fontId="22" fillId="12" borderId="60" xfId="9" applyNumberFormat="1" applyFont="1" applyFill="1" applyBorder="1" applyAlignment="1">
      <alignment horizontal="center" vertical="center"/>
    </xf>
  </cellXfs>
  <cellStyles count="10">
    <cellStyle name="20% - Accent4" xfId="5" builtinId="42"/>
    <cellStyle name="40% - Accent1" xfId="2" builtinId="31"/>
    <cellStyle name="60% - Accent1" xfId="3" builtinId="32"/>
    <cellStyle name="60% - Accent4" xfId="6" builtinId="44"/>
    <cellStyle name="Accent1" xfId="1" builtinId="29"/>
    <cellStyle name="Accent4" xfId="4" builtinId="41"/>
    <cellStyle name="Comma" xfId="8" builtinId="3"/>
    <cellStyle name="Currency" xfId="9" builtinId="4"/>
    <cellStyle name="Explanatory Text" xfId="7" builtinId="53"/>
    <cellStyle name="Normal" xfId="0" builtinId="0"/>
  </cellStyles>
  <dxfs count="0"/>
  <tableStyles count="0" defaultTableStyle="TableStyleMedium2" defaultPivotStyle="PivotStyleLight16"/>
  <colors>
    <mruColors>
      <color rgb="FF0000CC"/>
      <color rgb="FFFF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Elisabeth Zanou" id="{89ACBA9E-71B2-4BFF-B98D-EBD42F4DE39C}" userId="S::ezanou@unicef.org::c1e47674-83c9-42b3-b8da-bb7b6533340b" providerId="AD"/>
  <person displayName="Georges Alain Tchamba" id="{13869DDC-46C5-064D-BAE2-D5CF101F1B04}" userId="S::gtchamba@unicef.org::06b624d7-8d7f-4087-9b78-dbe5d572167d" providerId="AD"/>
</personList>
</file>

<file path=xl/theme/theme1.xml><?xml version="1.0" encoding="utf-8"?>
<a:theme xmlns:a="http://schemas.openxmlformats.org/drawingml/2006/main" name="Office Theme">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77" dT="2021-06-23T16:22:31.39" personId="{89ACBA9E-71B2-4BFF-B98D-EBD42F4DE39C}" id="{CA41AEAF-4B73-45C9-BC32-C5B235126F0C}">
    <text>@patrice.badibanga@wfp.org A reformuler</text>
  </threadedComment>
</ThreadedComments>
</file>

<file path=xl/threadedComments/threadedComment2.xml><?xml version="1.0" encoding="utf-8"?>
<ThreadedComments xmlns="http://schemas.microsoft.com/office/spreadsheetml/2018/threadedcomments" xmlns:x="http://schemas.openxmlformats.org/spreadsheetml/2006/main">
  <threadedComment ref="G12" dT="2021-10-24T09:08:07.28" personId="{13869DDC-46C5-064D-BAE2-D5CF101F1B04}" id="{1F767BBA-C933-0848-8ECD-66B33AD66686}">
    <text>le chiffre correspond au nombre d'adolescent à supplementer dans les écoles</text>
  </threadedComment>
  <threadedComment ref="G14" dT="2021-10-24T09:08:28.38" personId="{13869DDC-46C5-064D-BAE2-D5CF101F1B04}" id="{107D8E3B-CB67-4344-8973-A8005911A217}">
    <text>le chiffre correspond au nombre d'adolescent à supplementer dans les écoles</text>
  </threadedComment>
  <threadedComment ref="G16" dT="2021-10-24T09:09:00.83" personId="{13869DDC-46C5-064D-BAE2-D5CF101F1B04}" id="{67D993F0-8574-CD48-B488-B910B200DA90}">
    <text>c est le nombre d'espace de jeune</text>
  </threadedComment>
  <threadedComment ref="G17" dT="2021-10-24T09:09:29.89" personId="{13869DDC-46C5-064D-BAE2-D5CF101F1B04}" id="{A5DEB08B-5785-5344-8182-968B3F2C644A}">
    <text>c est le nombre d'espace de jeune</text>
  </threadedComment>
  <threadedComment ref="G18" dT="2021-10-24T09:10:31.87" personId="{13869DDC-46C5-064D-BAE2-D5CF101F1B04}" id="{0C516B62-CF7E-5448-ADD9-2C4979B3DA69}">
    <text>c est le nombre d'atelier pour l elaboration du plan strategique</text>
  </threadedComment>
  <threadedComment ref="G19" dT="2021-10-24T09:11:01.50" personId="{13869DDC-46C5-064D-BAE2-D5CF101F1B04}" id="{380C6937-CB7A-4842-94FA-5FFC5D1F7489}">
    <text>C'est le nombre de FEFA Seropositive</text>
  </threadedComment>
  <threadedComment ref="G20" dT="2021-10-24T09:12:36.67" personId="{13869DDC-46C5-064D-BAE2-D5CF101F1B04}" id="{C5FF228A-D25E-0041-8319-D7A736B20EB0}">
    <text>c'est le nombre de séance de vulgarisation des directives</text>
  </threadedComment>
  <threadedComment ref="G21" dT="2021-10-24T09:13:25.05" personId="{13869DDC-46C5-064D-BAE2-D5CF101F1B04}" id="{229C5942-A90E-B84A-AE4C-02E0106B5B95}">
    <text>c'est le nombre de séance de plaidoyer organisé auprès des bailleurs</text>
  </threadedComment>
  <threadedComment ref="G22" dT="2021-10-24T09:16:49.48" personId="{13869DDC-46C5-064D-BAE2-D5CF101F1B04}" id="{EDAD29E8-0BC2-CE46-BE4A-7233C41FCCA8}">
    <text>c'est le nombre de FEFA et adolescent</text>
  </threadedComment>
  <threadedComment ref="G23" dT="2021-10-24T09:29:21.35" personId="{13869DDC-46C5-064D-BAE2-D5CF101F1B04}" id="{D56AAFDD-EF1C-C946-AAC3-33BE5BF3D563}">
    <text>C 'est le nombre de microcredit accordé</text>
  </threadedComment>
  <threadedComment ref="G24" dT="2021-10-24T09:33:32.55" personId="{13869DDC-46C5-064D-BAE2-D5CF101F1B04}" id="{8B88DE25-D13E-3344-872E-00489D576B8D}">
    <text>Nombre d'atelier de redynamisation</text>
  </threadedComment>
  <threadedComment ref="G25" dT="2021-10-24T09:34:10.22" personId="{13869DDC-46C5-064D-BAE2-D5CF101F1B04}" id="{C47D0BF6-3199-304F-A968-7050F903F609}">
    <text>nombre de partenariat avec le secteur privé</text>
  </threadedComment>
  <threadedComment ref="G26" dT="2021-10-24T09:35:46.57" personId="{13869DDC-46C5-064D-BAE2-D5CF101F1B04}" id="{B2F1E683-7AAA-A548-A9CB-BA996AF4B055}">
    <text>nombre d'entreprise de transformation des produits agricoles</text>
  </threadedComment>
  <threadedComment ref="G27" dT="2021-10-24T09:37:02.14" personId="{13869DDC-46C5-064D-BAE2-D5CF101F1B04}" id="{91B35C65-9CAA-B444-A15A-335D0393DB33}">
    <text>nombre nombre d'adolescent, fille et FEFA recevant les semences bio fortifiées</text>
  </threadedComment>
  <threadedComment ref="G28" dT="2021-10-24T09:41:17.75" personId="{13869DDC-46C5-064D-BAE2-D5CF101F1B04}" id="{F410D45B-A5DF-734B-9769-DA597CB856FE}">
    <text>nombre d'adolescent, fille et FEFA</text>
  </threadedComment>
  <threadedComment ref="G29" dT="2021-10-24T09:42:59.83" personId="{13869DDC-46C5-064D-BAE2-D5CF101F1B04}" id="{165F07E8-07E8-2040-A015-D22704D65A5A}">
    <text>Nombre d'école</text>
  </threadedComment>
  <threadedComment ref="G30" dT="2021-10-24T09:43:20.41" personId="{13869DDC-46C5-064D-BAE2-D5CF101F1B04}" id="{E6852BC5-6A66-8D49-9C28-08160D0666F5}">
    <text>nombre d'école</text>
  </threadedComment>
  <threadedComment ref="G31" dT="2021-10-24T09:45:33.93" personId="{13869DDC-46C5-064D-BAE2-D5CF101F1B04}" id="{F2D6E6A1-3AF0-094D-B1F8-DE9360DA016C}">
    <text>nombre de ministere ayant intégré le nutrition dans leur plan sectoriel</text>
  </threadedComment>
  <threadedComment ref="G32" dT="2021-10-24T09:46:26.80" personId="{13869DDC-46C5-064D-BAE2-D5CF101F1B04}" id="{36FB0F3A-2736-8849-9C48-A8D52ABFA6B7}">
    <text>nombre de ménage</text>
  </threadedComment>
  <threadedComment ref="G35" dT="2021-10-24T10:04:24.21" personId="{13869DDC-46C5-064D-BAE2-D5CF101F1B04}" id="{E16BD4F0-E1AA-2841-98CF-A2E0AA7777E2}">
    <text>Nombre de séance de plaidoyer</text>
  </threadedComment>
  <threadedComment ref="G36" dT="2021-10-24T10:04:51.61" personId="{13869DDC-46C5-064D-BAE2-D5CF101F1B04}" id="{F6E69FFD-0D6D-7A41-9685-432528DDE560}">
    <text>Nombre de séance de plaidoyer</text>
  </threadedComment>
  <threadedComment ref="G37" dT="2021-10-24T10:05:03.37" personId="{13869DDC-46C5-064D-BAE2-D5CF101F1B04}" id="{6FF7F66B-B68D-D442-8151-7AC6ACE0594D}">
    <text>Nombre de séance de plaidoyer</text>
  </threadedComment>
  <threadedComment ref="G39" dT="2021-10-24T10:10:36.30" personId="{13869DDC-46C5-064D-BAE2-D5CF101F1B04}" id="{7F656266-6414-3449-A4FE-4BFC225082B2}">
    <text>Nombre d'OCC appuye</text>
  </threadedComment>
  <threadedComment ref="G40" dT="2021-10-24T10:11:52.71" personId="{13869DDC-46C5-064D-BAE2-D5CF101F1B04}" id="{BE2CECCA-45FD-3548-B521-E359610C40FD}">
    <text>nombre d acteur dont les capacités sont renforcées</text>
  </threadedComment>
  <threadedComment ref="G41" dT="2021-10-24T10:12:23.04" personId="{13869DDC-46C5-064D-BAE2-D5CF101F1B04}" id="{C3CB5967-E9D1-5246-BAD6-EB737071CDCF}">
    <text>nombre d acteur dont les capacités sont renforcées</text>
  </threadedComment>
  <threadedComment ref="G42" dT="2021-10-24T10:13:12.39" personId="{13869DDC-46C5-064D-BAE2-D5CF101F1B04}" id="{30E4A921-4649-D945-B3C5-95C29A4FC5F5}">
    <text>Nombre de centre de multiplication des géiteurs réhabilités et fonctionnels</text>
  </threadedComment>
  <threadedComment ref="G43" dT="2021-10-24T10:16:29.04" personId="{13869DDC-46C5-064D-BAE2-D5CF101F1B04}" id="{D39CECD0-E26A-C847-A7BE-C506CCC5C7B4}">
    <text>nombre de seance d'adoption et vulgarisation du cadre juridique</text>
  </threadedComment>
  <threadedComment ref="G44" dT="2021-10-24T10:16:56.76" personId="{13869DDC-46C5-064D-BAE2-D5CF101F1B04}" id="{34207554-395B-D848-97DC-26B2316E7629}">
    <text>nombre de seance de plaidoyer</text>
  </threadedComment>
  <threadedComment ref="G45" dT="2021-10-24T10:17:20.27" personId="{13869DDC-46C5-064D-BAE2-D5CF101F1B04}" id="{20910A5D-FB88-0D46-A182-719CD889F38A}">
    <text>nombre de seance de plaidoyer</text>
  </threadedComment>
  <threadedComment ref="G46" dT="2021-10-24T10:17:39.23" personId="{13869DDC-46C5-064D-BAE2-D5CF101F1B04}" id="{F32A7FFD-97E7-B045-B8E4-F06DA3CD46C0}">
    <text>nombre de seance de plaidoyer</text>
  </threadedComment>
  <threadedComment ref="G48" dT="2021-10-24T10:24:01.47" personId="{13869DDC-46C5-064D-BAE2-D5CF101F1B04}" id="{EF21850C-1995-A346-B966-5412C9B3B418}">
    <text>nombre publication sur la recherche agronomique réalisée</text>
  </threadedComment>
  <threadedComment ref="G49" dT="2021-10-24T10:25:35.32" personId="{13869DDC-46C5-064D-BAE2-D5CF101F1B04}" id="{B06DBC47-C5B9-B344-ADC3-E49A3DD06F72}">
    <text>nombre d adolescent</text>
  </threadedComment>
  <threadedComment ref="G50" dT="2021-10-24T10:26:12.01" personId="{13869DDC-46C5-064D-BAE2-D5CF101F1B04}" id="{AA9FFF95-3697-2D40-A3E7-6DE71773D6D1}">
    <text>nombre d'adolescent</text>
  </threadedComment>
  <threadedComment ref="G51" dT="2021-10-24T10:27:05.88" personId="{13869DDC-46C5-064D-BAE2-D5CF101F1B04}" id="{6A95F3BE-C627-6542-992B-55E1D63B0558}">
    <text>nombre d'adolescent</text>
  </threadedComment>
  <threadedComment ref="G52" dT="2021-10-24T10:27:21.60" personId="{13869DDC-46C5-064D-BAE2-D5CF101F1B04}" id="{A8369EDA-9EE6-664E-BF98-ABF1193D3AD4}">
    <text>nombre d'adolescent</text>
  </threadedComment>
  <threadedComment ref="G53" dT="2021-10-24T10:27:32.90" personId="{13869DDC-46C5-064D-BAE2-D5CF101F1B04}" id="{E2C8970C-0739-3948-AD7C-120B5D9753F1}">
    <text>nombre d'adolescent</text>
  </threadedComment>
  <threadedComment ref="G56" dT="2021-10-24T10:35:14.07" personId="{13869DDC-46C5-064D-BAE2-D5CF101F1B04}" id="{820F6715-4B42-ED42-89E5-2492AE3FE9D2}">
    <text>nombre de zone de santé</text>
  </threadedComment>
  <threadedComment ref="G57" dT="2021-10-24T10:33:56.94" personId="{13869DDC-46C5-064D-BAE2-D5CF101F1B04}" id="{EC3B7DB1-1294-D24F-8B73-8E2BC6E168AE}">
    <text>nombre de séance du plaidoyer</text>
  </threadedComment>
  <threadedComment ref="G58" dT="2021-10-24T10:36:10.65" personId="{13869DDC-46C5-064D-BAE2-D5CF101F1B04}" id="{F811E245-B4EA-0E4F-ACF4-22BAB40054F1}">
    <text>nombre de seéance de vulgarisation par ZS</text>
  </threadedComment>
  <threadedComment ref="G60" dT="2021-10-24T10:38:13.70" personId="{13869DDC-46C5-064D-BAE2-D5CF101F1B04}" id="{F4C7CB95-2231-6C41-86F2-B3C9E1E689BB}">
    <text>nombre de séance de vulgarisation</text>
  </threadedComment>
  <threadedComment ref="G61" dT="2021-10-24T10:39:02.67" personId="{13869DDC-46C5-064D-BAE2-D5CF101F1B04}" id="{8A7C7CF1-5AB3-E048-BBD3-96FF01D41EC0}">
    <text>nombre de centre d' éveil par ZS</text>
  </threadedComment>
  <threadedComment ref="G62" dT="2021-10-24T10:44:30.51" personId="{13869DDC-46C5-064D-BAE2-D5CF101F1B04}" id="{7A5062EE-644D-7D49-B1A7-B95120BFB83F}">
    <text>Nombre de prestataire et acteur communautaire formé</text>
  </threadedComment>
  <threadedComment ref="G63" dT="2021-10-24T10:45:33.39" personId="{13869DDC-46C5-064D-BAE2-D5CF101F1B04}" id="{0576D6D7-0DBE-2E48-A252-7CC53DDA14B2}">
    <text>nombre de seance de vulgarisation du cadre juridique</text>
  </threadedComment>
  <threadedComment ref="G64" dT="2021-10-24T10:46:53.30" personId="{13869DDC-46C5-064D-BAE2-D5CF101F1B04}" id="{61E643BA-6A2D-964C-A383-ECF8F1AF533C}">
    <text>nombre de séance de plaidoyer pour la redynamisation</text>
  </threadedComment>
  <threadedComment ref="G65" dT="2021-10-24T10:47:54.61" personId="{13869DDC-46C5-064D-BAE2-D5CF101F1B04}" id="{225234B4-446D-6640-B76F-C873AA65469C}">
    <text>nombre d'atelierpour l actualisation du plan stratégique</text>
  </threadedComment>
  <threadedComment ref="G66" dT="2021-10-24T10:50:04.42" personId="{13869DDC-46C5-064D-BAE2-D5CF101F1B04}" id="{49215229-88C4-484B-9AE8-151A7365BF2E}">
    <text>nombre de petit fermiers forme et recevant les intrants</text>
  </threadedComment>
  <threadedComment ref="G67" dT="2021-10-24T10:52:12.44" personId="{13869DDC-46C5-064D-BAE2-D5CF101F1B04}" id="{127ADC25-B721-B147-AB2A-BFD9D54A2FE9}">
    <text>nombre de petit fermier sensibilisé</text>
  </threadedComment>
  <threadedComment ref="G68" dT="2021-10-24T10:52:59.59" personId="{13869DDC-46C5-064D-BAE2-D5CF101F1B04}" id="{308E81B3-CB02-0F4A-8E47-259DF110FC19}">
    <text>nombre de ménage recevant les intrants</text>
  </threadedComment>
  <threadedComment ref="G69" dT="2021-10-24T10:53:41.04" personId="{13869DDC-46C5-064D-BAE2-D5CF101F1B04}" id="{15688659-0594-244E-AA70-15E34D42E8B8}">
    <text>nombre de jardin communautaire</text>
  </threadedComment>
  <threadedComment ref="G70" dT="2021-10-24T10:55:16.76" personId="{13869DDC-46C5-064D-BAE2-D5CF101F1B04}" id="{2F7B99A9-9052-EC4F-A9E9-E55E851E0B9B}">
    <text>nombre de FEFA</text>
  </threadedComment>
  <threadedComment ref="G71" dT="2021-10-24T10:55:59.42" personId="{13869DDC-46C5-064D-BAE2-D5CF101F1B04}" id="{9250ACF3-0100-304A-AFCD-E6E286226995}">
    <text>Nombre de ménage</text>
  </threadedComment>
  <threadedComment ref="G72" dT="2021-10-24T10:56:41.80" personId="{13869DDC-46C5-064D-BAE2-D5CF101F1B04}" id="{E3CA20B6-9A47-CE46-A50B-3AB7BE04B7E6}">
    <text>nombre de ménage ayant adhéré à la Mutuelle de santé</text>
  </threadedComment>
  <threadedComment ref="G80" dT="2021-10-24T11:00:12.26" personId="{13869DDC-46C5-064D-BAE2-D5CF101F1B04}" id="{A07E70D6-B10E-3D46-872A-BF6F7BA5B520}">
    <text>NOMBRE d'atelier d'intergration organisé</text>
  </threadedComment>
  <threadedComment ref="G81" dT="2021-10-24T11:02:52.06" personId="{13869DDC-46C5-064D-BAE2-D5CF101F1B04}" id="{30BD292A-B5CF-244B-ACDA-0AF213A7AD1F}">
    <text>nombre de centre de santé ravitaillé selin la chaine d'approvissionnement des médicaments</text>
  </threadedComment>
  <threadedComment ref="G82" dT="2021-10-24T11:05:07.30" personId="{13869DDC-46C5-064D-BAE2-D5CF101F1B04}" id="{A161E411-8A40-B64D-85C8-300851AAFB51}">
    <text>nombre de site SNSAP renforce</text>
  </threadedComment>
  <threadedComment ref="G83" dT="2021-10-24T11:05:35.61" personId="{13869DDC-46C5-064D-BAE2-D5CF101F1B04}" id="{852DD306-1BC6-F84B-9155-9310342A380B}">
    <text>nombre d'enquête SMART SENS réalisée</text>
  </threadedComment>
  <threadedComment ref="G84" dT="2021-10-24T11:03:20.15" personId="{13869DDC-46C5-064D-BAE2-D5CF101F1B04}" id="{DC8F3721-9ECE-0A4B-AA5E-84A4544DECB4}">
    <text>nombre de centre de santé ravitaillé selin la chaine d'approvissionnement des médicaments</text>
  </threadedComment>
  <threadedComment ref="G85" dT="2021-10-24T11:04:34.38" personId="{13869DDC-46C5-064D-BAE2-D5CF101F1B04}" id="{C74F666F-FB17-C04C-8CFD-B71D9DBD3FA0}">
    <text>nombre de centre de santé respectant les normes d'assurance qualité</text>
  </threadedComment>
  <threadedComment ref="G86" dT="2021-10-24T09:42:59.83" personId="{13869DDC-46C5-064D-BAE2-D5CF101F1B04}" id="{40DB9C4B-50C6-BE46-A0F2-18826F995E0F}">
    <text>Nombre de ménage</text>
  </threadedComment>
  <threadedComment ref="G87" dT="2021-10-24T09:42:59.83" personId="{13869DDC-46C5-064D-BAE2-D5CF101F1B04}" id="{6CFAF5D4-8A36-3E43-9661-ACC65DE1D1AE}">
    <text>Nombre d'adolescent</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3:M151"/>
  <sheetViews>
    <sheetView showGridLines="0" tabSelected="1" showRuler="0" zoomScale="86" zoomScaleNormal="86" zoomScalePageLayoutView="57" workbookViewId="0">
      <selection activeCell="B3" sqref="B3:M3"/>
    </sheetView>
  </sheetViews>
  <sheetFormatPr baseColWidth="10" defaultColWidth="10.5" defaultRowHeight="16" x14ac:dyDescent="0.2"/>
  <cols>
    <col min="1" max="1" width="7.5" style="4" customWidth="1"/>
    <col min="2" max="2" width="15.5" style="4" customWidth="1"/>
    <col min="3" max="3" width="38.83203125" style="4" customWidth="1"/>
    <col min="4" max="4" width="50.83203125" style="5" customWidth="1"/>
    <col min="5" max="5" width="18.6640625" style="5" customWidth="1"/>
    <col min="6" max="6" width="26.5" style="4" customWidth="1"/>
    <col min="7" max="7" width="15.5" style="4" customWidth="1"/>
    <col min="8" max="8" width="12.5" style="4" customWidth="1"/>
    <col min="9" max="9" width="15.83203125" style="4" customWidth="1"/>
    <col min="10" max="10" width="8.1640625" style="4" customWidth="1"/>
    <col min="11" max="11" width="17" style="4" customWidth="1"/>
    <col min="12" max="12" width="16" style="4" customWidth="1"/>
    <col min="13" max="13" width="26.6640625" style="4" customWidth="1"/>
    <col min="14" max="16384" width="10.5" style="4"/>
  </cols>
  <sheetData>
    <row r="3" spans="2:13" ht="33" x14ac:dyDescent="0.2">
      <c r="B3" s="172" t="s">
        <v>0</v>
      </c>
      <c r="C3" s="172"/>
      <c r="D3" s="172"/>
      <c r="E3" s="172"/>
      <c r="F3" s="172"/>
      <c r="G3" s="172"/>
      <c r="H3" s="172"/>
      <c r="I3" s="172"/>
      <c r="J3" s="172"/>
      <c r="K3" s="172"/>
      <c r="L3" s="172"/>
      <c r="M3" s="172"/>
    </row>
    <row r="4" spans="2:13" ht="34" x14ac:dyDescent="0.2">
      <c r="B4" s="174" t="s">
        <v>1</v>
      </c>
      <c r="C4" s="174"/>
      <c r="D4" s="174"/>
      <c r="E4" s="174"/>
      <c r="F4" s="174"/>
      <c r="G4" s="174"/>
      <c r="H4" s="174"/>
      <c r="I4" s="174"/>
      <c r="J4" s="174"/>
      <c r="K4" s="174"/>
      <c r="L4" s="174"/>
      <c r="M4" s="174"/>
    </row>
    <row r="5" spans="2:13" ht="21" x14ac:dyDescent="0.25">
      <c r="B5" s="173" t="s">
        <v>2</v>
      </c>
      <c r="C5" s="173"/>
      <c r="D5" s="173"/>
      <c r="E5" s="173"/>
      <c r="F5" s="173"/>
      <c r="G5" s="173"/>
      <c r="H5" s="173"/>
      <c r="I5" s="173"/>
      <c r="J5" s="173"/>
      <c r="K5" s="173"/>
      <c r="L5" s="173"/>
      <c r="M5" s="173"/>
    </row>
    <row r="7" spans="2:13" ht="21" x14ac:dyDescent="0.2">
      <c r="B7" s="6" t="s">
        <v>3</v>
      </c>
    </row>
    <row r="8" spans="2:13" ht="17" thickBot="1" x14ac:dyDescent="0.25"/>
    <row r="9" spans="2:13" ht="27" customHeight="1" x14ac:dyDescent="0.2">
      <c r="B9" s="54" t="s">
        <v>4</v>
      </c>
      <c r="C9" s="112"/>
      <c r="D9" s="113" t="s">
        <v>5</v>
      </c>
      <c r="E9" s="113"/>
      <c r="F9" s="113"/>
      <c r="G9" s="113"/>
      <c r="H9" s="113"/>
      <c r="I9" s="113"/>
      <c r="J9" s="113"/>
      <c r="K9" s="113"/>
      <c r="L9" s="113"/>
      <c r="M9" s="114"/>
    </row>
    <row r="10" spans="2:13" ht="32.25" customHeight="1" x14ac:dyDescent="0.2">
      <c r="B10" s="115" t="s">
        <v>243</v>
      </c>
      <c r="C10" s="116"/>
      <c r="D10" s="117" t="s">
        <v>245</v>
      </c>
      <c r="E10" s="117"/>
      <c r="F10" s="117"/>
      <c r="G10" s="117"/>
      <c r="H10" s="117"/>
      <c r="I10" s="117"/>
      <c r="J10" s="117"/>
      <c r="K10" s="117"/>
      <c r="L10" s="117"/>
      <c r="M10" s="118"/>
    </row>
    <row r="11" spans="2:13" ht="31" customHeight="1" thickBot="1" x14ac:dyDescent="0.25">
      <c r="B11" s="83" t="s">
        <v>7</v>
      </c>
      <c r="C11" s="119"/>
      <c r="D11" s="120" t="s">
        <v>8</v>
      </c>
      <c r="E11" s="120"/>
      <c r="F11" s="120"/>
      <c r="G11" s="120"/>
      <c r="H11" s="120"/>
      <c r="I11" s="120"/>
      <c r="J11" s="120"/>
      <c r="K11" s="120"/>
      <c r="L11" s="120"/>
      <c r="M11" s="121"/>
    </row>
    <row r="13" spans="2:13" ht="21" x14ac:dyDescent="0.2">
      <c r="B13" s="6" t="s">
        <v>9</v>
      </c>
    </row>
    <row r="14" spans="2:13" ht="17" thickBot="1" x14ac:dyDescent="0.25"/>
    <row r="15" spans="2:13" ht="19" x14ac:dyDescent="0.25">
      <c r="B15" s="126" t="s">
        <v>10</v>
      </c>
      <c r="C15" s="112" t="s">
        <v>11</v>
      </c>
      <c r="D15" s="112"/>
      <c r="E15" s="112"/>
      <c r="F15" s="112"/>
      <c r="G15" s="55"/>
      <c r="H15" s="123" t="s">
        <v>12</v>
      </c>
      <c r="I15" s="124"/>
      <c r="J15" s="124"/>
      <c r="K15" s="124"/>
      <c r="L15" s="124"/>
      <c r="M15" s="125"/>
    </row>
    <row r="16" spans="2:13" ht="16" customHeight="1" x14ac:dyDescent="0.2">
      <c r="B16" s="127"/>
      <c r="C16" s="116"/>
      <c r="D16" s="116"/>
      <c r="E16" s="116"/>
      <c r="F16" s="116"/>
      <c r="G16" s="122"/>
      <c r="H16" s="100" t="s">
        <v>246</v>
      </c>
      <c r="I16" s="101"/>
      <c r="J16" s="102"/>
      <c r="K16" s="106" t="s">
        <v>13</v>
      </c>
      <c r="L16" s="107"/>
      <c r="M16" s="108"/>
    </row>
    <row r="17" spans="2:13" ht="75" customHeight="1" x14ac:dyDescent="0.2">
      <c r="B17" s="128"/>
      <c r="C17" s="116"/>
      <c r="D17" s="116"/>
      <c r="E17" s="116"/>
      <c r="F17" s="116"/>
      <c r="G17" s="122"/>
      <c r="H17" s="103"/>
      <c r="I17" s="104"/>
      <c r="J17" s="105"/>
      <c r="K17" s="109"/>
      <c r="L17" s="110"/>
      <c r="M17" s="111"/>
    </row>
    <row r="18" spans="2:13" ht="33" customHeight="1" x14ac:dyDescent="0.2">
      <c r="B18" s="16"/>
      <c r="C18" s="17"/>
      <c r="D18" s="18"/>
      <c r="E18" s="18"/>
      <c r="F18" s="18"/>
      <c r="G18" s="18"/>
      <c r="H18" s="1" t="s">
        <v>14</v>
      </c>
      <c r="I18" s="1" t="s">
        <v>15</v>
      </c>
      <c r="J18" s="1" t="s">
        <v>16</v>
      </c>
      <c r="K18" s="19" t="s">
        <v>17</v>
      </c>
      <c r="L18" s="19" t="s">
        <v>18</v>
      </c>
      <c r="M18" s="19" t="s">
        <v>19</v>
      </c>
    </row>
    <row r="19" spans="2:13" ht="32.25" customHeight="1" x14ac:dyDescent="0.2">
      <c r="B19" s="149" t="s">
        <v>2</v>
      </c>
      <c r="C19" s="151" t="s">
        <v>20</v>
      </c>
      <c r="D19" s="152"/>
      <c r="E19" s="152"/>
      <c r="F19" s="152"/>
      <c r="G19" s="153"/>
      <c r="H19" s="2">
        <v>13.5</v>
      </c>
      <c r="I19" s="2">
        <f t="shared" ref="I19:I44" si="0">+H19-J19</f>
        <v>6.9</v>
      </c>
      <c r="J19" s="2">
        <v>6.6</v>
      </c>
      <c r="K19" s="19">
        <v>10.5</v>
      </c>
      <c r="L19" s="19"/>
      <c r="M19" s="19"/>
    </row>
    <row r="20" spans="2:13" ht="35.25" customHeight="1" x14ac:dyDescent="0.2">
      <c r="B20" s="150"/>
      <c r="C20" s="151" t="s">
        <v>21</v>
      </c>
      <c r="D20" s="152"/>
      <c r="E20" s="152"/>
      <c r="F20" s="152"/>
      <c r="G20" s="153"/>
      <c r="H20" s="2">
        <v>11.2</v>
      </c>
      <c r="I20" s="2">
        <f t="shared" si="0"/>
        <v>5.0999999999999996</v>
      </c>
      <c r="J20" s="2">
        <v>6.1</v>
      </c>
      <c r="K20" s="19">
        <v>8.1999999999999993</v>
      </c>
      <c r="L20" s="19"/>
      <c r="M20" s="19"/>
    </row>
    <row r="21" spans="2:13" ht="31" customHeight="1" x14ac:dyDescent="0.2">
      <c r="B21" s="150"/>
      <c r="C21" s="151" t="s">
        <v>22</v>
      </c>
      <c r="D21" s="152"/>
      <c r="E21" s="152"/>
      <c r="F21" s="152"/>
      <c r="G21" s="153"/>
      <c r="H21" s="2">
        <v>10</v>
      </c>
      <c r="I21" s="2">
        <f t="shared" si="0"/>
        <v>5.9</v>
      </c>
      <c r="J21" s="2">
        <v>4.0999999999999996</v>
      </c>
      <c r="K21" s="19">
        <v>7</v>
      </c>
      <c r="L21" s="19"/>
      <c r="M21" s="19"/>
    </row>
    <row r="22" spans="2:13" ht="31" customHeight="1" x14ac:dyDescent="0.2">
      <c r="B22" s="150"/>
      <c r="C22" s="151" t="s">
        <v>23</v>
      </c>
      <c r="D22" s="152"/>
      <c r="E22" s="152"/>
      <c r="F22" s="152"/>
      <c r="G22" s="153"/>
      <c r="H22" s="2">
        <v>10.9</v>
      </c>
      <c r="I22" s="2">
        <f t="shared" si="0"/>
        <v>7.3000000000000007</v>
      </c>
      <c r="J22" s="2">
        <v>3.6</v>
      </c>
      <c r="K22" s="19">
        <v>7.9</v>
      </c>
      <c r="L22" s="19"/>
      <c r="M22" s="19"/>
    </row>
    <row r="23" spans="2:13" ht="31" customHeight="1" x14ac:dyDescent="0.2">
      <c r="B23" s="150"/>
      <c r="C23" s="151" t="s">
        <v>24</v>
      </c>
      <c r="D23" s="152"/>
      <c r="E23" s="152"/>
      <c r="F23" s="152"/>
      <c r="G23" s="153"/>
      <c r="H23" s="2">
        <v>9.6999999999999993</v>
      </c>
      <c r="I23" s="2">
        <f t="shared" si="0"/>
        <v>6.2999999999999989</v>
      </c>
      <c r="J23" s="2">
        <v>3.4</v>
      </c>
      <c r="K23" s="19">
        <v>7.7</v>
      </c>
      <c r="L23" s="19"/>
      <c r="M23" s="19"/>
    </row>
    <row r="24" spans="2:13" ht="31" customHeight="1" x14ac:dyDescent="0.2">
      <c r="B24" s="150"/>
      <c r="C24" s="151" t="s">
        <v>25</v>
      </c>
      <c r="D24" s="152"/>
      <c r="E24" s="152"/>
      <c r="F24" s="152"/>
      <c r="G24" s="153"/>
      <c r="H24" s="2">
        <v>7.6</v>
      </c>
      <c r="I24" s="2">
        <f t="shared" si="0"/>
        <v>4.5999999999999996</v>
      </c>
      <c r="J24" s="2">
        <v>3</v>
      </c>
      <c r="K24" s="19">
        <v>5.6</v>
      </c>
      <c r="L24" s="19"/>
      <c r="M24" s="19"/>
    </row>
    <row r="25" spans="2:13" ht="31" customHeight="1" x14ac:dyDescent="0.2">
      <c r="B25" s="150"/>
      <c r="C25" s="151" t="s">
        <v>26</v>
      </c>
      <c r="D25" s="152"/>
      <c r="E25" s="152"/>
      <c r="F25" s="152"/>
      <c r="G25" s="153"/>
      <c r="H25" s="2">
        <v>10.6</v>
      </c>
      <c r="I25" s="2">
        <f t="shared" si="0"/>
        <v>7.6999999999999993</v>
      </c>
      <c r="J25" s="2">
        <v>2.9</v>
      </c>
      <c r="K25" s="19">
        <v>7.6</v>
      </c>
      <c r="L25" s="19"/>
      <c r="M25" s="19"/>
    </row>
    <row r="26" spans="2:13" ht="31" customHeight="1" x14ac:dyDescent="0.2">
      <c r="B26" s="150"/>
      <c r="C26" s="151" t="s">
        <v>27</v>
      </c>
      <c r="D26" s="152"/>
      <c r="E26" s="152"/>
      <c r="F26" s="152"/>
      <c r="G26" s="153"/>
      <c r="H26" s="2">
        <v>8.1999999999999993</v>
      </c>
      <c r="I26" s="2">
        <f t="shared" si="0"/>
        <v>5.2999999999999989</v>
      </c>
      <c r="J26" s="2">
        <v>2.9</v>
      </c>
      <c r="K26" s="19">
        <v>6.2</v>
      </c>
      <c r="L26" s="19"/>
      <c r="M26" s="19"/>
    </row>
    <row r="27" spans="2:13" ht="31" customHeight="1" x14ac:dyDescent="0.2">
      <c r="B27" s="150"/>
      <c r="C27" s="151" t="s">
        <v>28</v>
      </c>
      <c r="D27" s="152"/>
      <c r="E27" s="152"/>
      <c r="F27" s="152"/>
      <c r="G27" s="153"/>
      <c r="H27" s="2">
        <v>6</v>
      </c>
      <c r="I27" s="2">
        <f t="shared" si="0"/>
        <v>3.3</v>
      </c>
      <c r="J27" s="2">
        <v>2.7</v>
      </c>
      <c r="K27" s="19">
        <v>5</v>
      </c>
      <c r="L27" s="19"/>
      <c r="M27" s="19"/>
    </row>
    <row r="28" spans="2:13" ht="31" customHeight="1" x14ac:dyDescent="0.2">
      <c r="B28" s="150"/>
      <c r="C28" s="151" t="s">
        <v>29</v>
      </c>
      <c r="D28" s="152"/>
      <c r="E28" s="152"/>
      <c r="F28" s="152"/>
      <c r="G28" s="153"/>
      <c r="H28" s="2">
        <v>5.9</v>
      </c>
      <c r="I28" s="2">
        <f t="shared" si="0"/>
        <v>3.5000000000000004</v>
      </c>
      <c r="J28" s="2">
        <v>2.4</v>
      </c>
      <c r="K28" s="19">
        <v>4.9000000000000004</v>
      </c>
      <c r="L28" s="19"/>
      <c r="M28" s="19"/>
    </row>
    <row r="29" spans="2:13" ht="31" customHeight="1" x14ac:dyDescent="0.2">
      <c r="B29" s="150"/>
      <c r="C29" s="151" t="s">
        <v>30</v>
      </c>
      <c r="D29" s="152"/>
      <c r="E29" s="152"/>
      <c r="F29" s="152"/>
      <c r="G29" s="153"/>
      <c r="H29" s="2">
        <v>8.5</v>
      </c>
      <c r="I29" s="2">
        <f t="shared" si="0"/>
        <v>6.2</v>
      </c>
      <c r="J29" s="2">
        <v>2.2999999999999998</v>
      </c>
      <c r="K29" s="19">
        <v>6.5</v>
      </c>
      <c r="L29" s="19"/>
      <c r="M29" s="19"/>
    </row>
    <row r="30" spans="2:13" ht="31" customHeight="1" x14ac:dyDescent="0.2">
      <c r="B30" s="150"/>
      <c r="C30" s="146" t="s">
        <v>31</v>
      </c>
      <c r="D30" s="147"/>
      <c r="E30" s="147"/>
      <c r="F30" s="147"/>
      <c r="G30" s="148"/>
      <c r="H30" s="7">
        <v>4.0999999999999996</v>
      </c>
      <c r="I30" s="7">
        <f t="shared" si="0"/>
        <v>2.1999999999999997</v>
      </c>
      <c r="J30" s="7">
        <v>1.9</v>
      </c>
      <c r="K30" s="19">
        <v>4.0999999999999996</v>
      </c>
      <c r="L30" s="19"/>
      <c r="M30" s="19"/>
    </row>
    <row r="31" spans="2:13" ht="31" customHeight="1" x14ac:dyDescent="0.2">
      <c r="B31" s="150"/>
      <c r="C31" s="146" t="s">
        <v>32</v>
      </c>
      <c r="D31" s="147"/>
      <c r="E31" s="147"/>
      <c r="F31" s="147"/>
      <c r="G31" s="148"/>
      <c r="H31" s="7">
        <v>4.5999999999999996</v>
      </c>
      <c r="I31" s="7">
        <f t="shared" si="0"/>
        <v>2.6999999999999997</v>
      </c>
      <c r="J31" s="7">
        <v>1.9</v>
      </c>
      <c r="K31" s="19">
        <v>3.6</v>
      </c>
      <c r="L31" s="19"/>
      <c r="M31" s="19"/>
    </row>
    <row r="32" spans="2:13" ht="31" customHeight="1" x14ac:dyDescent="0.2">
      <c r="B32" s="150"/>
      <c r="C32" s="146" t="s">
        <v>33</v>
      </c>
      <c r="D32" s="147"/>
      <c r="E32" s="147"/>
      <c r="F32" s="147"/>
      <c r="G32" s="148"/>
      <c r="H32" s="7">
        <v>6.2</v>
      </c>
      <c r="I32" s="7">
        <f t="shared" si="0"/>
        <v>4.3000000000000007</v>
      </c>
      <c r="J32" s="7">
        <v>1.9</v>
      </c>
      <c r="K32" s="19">
        <v>5.2</v>
      </c>
      <c r="L32" s="19"/>
      <c r="M32" s="19"/>
    </row>
    <row r="33" spans="2:13" ht="31" customHeight="1" x14ac:dyDescent="0.2">
      <c r="B33" s="150"/>
      <c r="C33" s="146" t="s">
        <v>34</v>
      </c>
      <c r="D33" s="147"/>
      <c r="E33" s="147"/>
      <c r="F33" s="147"/>
      <c r="G33" s="148"/>
      <c r="H33" s="7">
        <v>9.3000000000000007</v>
      </c>
      <c r="I33" s="7">
        <f t="shared" si="0"/>
        <v>7.6000000000000005</v>
      </c>
      <c r="J33" s="7">
        <v>1.7</v>
      </c>
      <c r="K33" s="19">
        <v>7.3</v>
      </c>
      <c r="L33" s="19"/>
      <c r="M33" s="19"/>
    </row>
    <row r="34" spans="2:13" ht="31" customHeight="1" x14ac:dyDescent="0.2">
      <c r="B34" s="150"/>
      <c r="C34" s="146" t="s">
        <v>35</v>
      </c>
      <c r="D34" s="147"/>
      <c r="E34" s="147"/>
      <c r="F34" s="147"/>
      <c r="G34" s="148"/>
      <c r="H34" s="7">
        <v>4</v>
      </c>
      <c r="I34" s="7">
        <f t="shared" si="0"/>
        <v>2.2999999999999998</v>
      </c>
      <c r="J34" s="7">
        <v>1.7</v>
      </c>
      <c r="K34" s="19">
        <v>3</v>
      </c>
      <c r="L34" s="19"/>
      <c r="M34" s="19"/>
    </row>
    <row r="35" spans="2:13" ht="31" customHeight="1" x14ac:dyDescent="0.2">
      <c r="B35" s="150"/>
      <c r="C35" s="146" t="s">
        <v>36</v>
      </c>
      <c r="D35" s="147"/>
      <c r="E35" s="147"/>
      <c r="F35" s="147"/>
      <c r="G35" s="148"/>
      <c r="H35" s="7">
        <v>5.6</v>
      </c>
      <c r="I35" s="7">
        <f t="shared" si="0"/>
        <v>3.8999999999999995</v>
      </c>
      <c r="J35" s="7">
        <v>1.7</v>
      </c>
      <c r="K35" s="19">
        <v>4.5999999999999996</v>
      </c>
      <c r="L35" s="19"/>
      <c r="M35" s="19"/>
    </row>
    <row r="36" spans="2:13" ht="31" customHeight="1" x14ac:dyDescent="0.2">
      <c r="B36" s="150"/>
      <c r="C36" s="146" t="s">
        <v>37</v>
      </c>
      <c r="D36" s="147"/>
      <c r="E36" s="147"/>
      <c r="F36" s="147"/>
      <c r="G36" s="148"/>
      <c r="H36" s="7">
        <v>4</v>
      </c>
      <c r="I36" s="7">
        <f t="shared" si="0"/>
        <v>2.5</v>
      </c>
      <c r="J36" s="7">
        <v>1.5</v>
      </c>
      <c r="K36" s="19">
        <v>3</v>
      </c>
      <c r="L36" s="19"/>
      <c r="M36" s="19"/>
    </row>
    <row r="37" spans="2:13" ht="31" customHeight="1" x14ac:dyDescent="0.2">
      <c r="B37" s="150"/>
      <c r="C37" s="146" t="s">
        <v>38</v>
      </c>
      <c r="D37" s="147"/>
      <c r="E37" s="147"/>
      <c r="F37" s="147"/>
      <c r="G37" s="148"/>
      <c r="H37" s="7">
        <v>6.9</v>
      </c>
      <c r="I37" s="7">
        <f t="shared" si="0"/>
        <v>5.4</v>
      </c>
      <c r="J37" s="7">
        <v>1.5</v>
      </c>
      <c r="K37" s="19">
        <v>5.9</v>
      </c>
      <c r="L37" s="19"/>
      <c r="M37" s="19"/>
    </row>
    <row r="38" spans="2:13" ht="31" customHeight="1" x14ac:dyDescent="0.2">
      <c r="B38" s="150"/>
      <c r="C38" s="146" t="s">
        <v>39</v>
      </c>
      <c r="D38" s="147"/>
      <c r="E38" s="147"/>
      <c r="F38" s="147"/>
      <c r="G38" s="148"/>
      <c r="H38" s="7">
        <v>6.9</v>
      </c>
      <c r="I38" s="7">
        <f t="shared" si="0"/>
        <v>5.4</v>
      </c>
      <c r="J38" s="7">
        <v>1.5</v>
      </c>
      <c r="K38" s="19">
        <v>5.9</v>
      </c>
      <c r="L38" s="19"/>
      <c r="M38" s="19"/>
    </row>
    <row r="39" spans="2:13" ht="31" customHeight="1" x14ac:dyDescent="0.2">
      <c r="B39" s="150"/>
      <c r="C39" s="146" t="s">
        <v>40</v>
      </c>
      <c r="D39" s="147"/>
      <c r="E39" s="147"/>
      <c r="F39" s="147"/>
      <c r="G39" s="148"/>
      <c r="H39" s="7">
        <v>5.5</v>
      </c>
      <c r="I39" s="7">
        <f t="shared" si="0"/>
        <v>4.2</v>
      </c>
      <c r="J39" s="7">
        <v>1.3</v>
      </c>
      <c r="K39" s="19">
        <v>4.5</v>
      </c>
      <c r="L39" s="19"/>
      <c r="M39" s="19"/>
    </row>
    <row r="40" spans="2:13" ht="31" customHeight="1" x14ac:dyDescent="0.2">
      <c r="B40" s="150"/>
      <c r="C40" s="146" t="s">
        <v>41</v>
      </c>
      <c r="D40" s="147"/>
      <c r="E40" s="147"/>
      <c r="F40" s="147"/>
      <c r="G40" s="148"/>
      <c r="H40" s="7">
        <v>4.3</v>
      </c>
      <c r="I40" s="7">
        <f t="shared" si="0"/>
        <v>3</v>
      </c>
      <c r="J40" s="7">
        <v>1.3</v>
      </c>
      <c r="K40" s="19">
        <v>3.3</v>
      </c>
      <c r="L40" s="19"/>
      <c r="M40" s="19"/>
    </row>
    <row r="41" spans="2:13" ht="31" customHeight="1" x14ac:dyDescent="0.2">
      <c r="B41" s="150"/>
      <c r="C41" s="146" t="s">
        <v>42</v>
      </c>
      <c r="D41" s="147"/>
      <c r="E41" s="147"/>
      <c r="F41" s="147"/>
      <c r="G41" s="148"/>
      <c r="H41" s="7">
        <v>5</v>
      </c>
      <c r="I41" s="7">
        <f t="shared" si="0"/>
        <v>3.7</v>
      </c>
      <c r="J41" s="7">
        <v>1.3</v>
      </c>
      <c r="K41" s="19">
        <v>4</v>
      </c>
      <c r="L41" s="19"/>
      <c r="M41" s="19"/>
    </row>
    <row r="42" spans="2:13" ht="31" customHeight="1" x14ac:dyDescent="0.2">
      <c r="B42" s="150"/>
      <c r="C42" s="146" t="s">
        <v>43</v>
      </c>
      <c r="D42" s="147"/>
      <c r="E42" s="147"/>
      <c r="F42" s="147"/>
      <c r="G42" s="148"/>
      <c r="H42" s="7">
        <v>9.3000000000000007</v>
      </c>
      <c r="I42" s="7">
        <f t="shared" si="0"/>
        <v>8.3000000000000007</v>
      </c>
      <c r="J42" s="7">
        <v>1</v>
      </c>
      <c r="K42" s="19">
        <v>7.3</v>
      </c>
      <c r="L42" s="19"/>
      <c r="M42" s="19"/>
    </row>
    <row r="43" spans="2:13" ht="31" customHeight="1" x14ac:dyDescent="0.2">
      <c r="B43" s="150"/>
      <c r="C43" s="146" t="s">
        <v>44</v>
      </c>
      <c r="D43" s="147"/>
      <c r="E43" s="147"/>
      <c r="F43" s="147"/>
      <c r="G43" s="148"/>
      <c r="H43" s="7">
        <v>4.5999999999999996</v>
      </c>
      <c r="I43" s="7">
        <f t="shared" si="0"/>
        <v>3.8999999999999995</v>
      </c>
      <c r="J43" s="7">
        <v>0.7</v>
      </c>
      <c r="K43" s="19">
        <v>3.6</v>
      </c>
      <c r="L43" s="19"/>
      <c r="M43" s="19"/>
    </row>
    <row r="44" spans="2:13" ht="31" customHeight="1" x14ac:dyDescent="0.2">
      <c r="B44" s="150"/>
      <c r="C44" s="146" t="s">
        <v>45</v>
      </c>
      <c r="D44" s="147"/>
      <c r="E44" s="147"/>
      <c r="F44" s="147"/>
      <c r="G44" s="148"/>
      <c r="H44" s="7">
        <v>2.6</v>
      </c>
      <c r="I44" s="7">
        <f t="shared" si="0"/>
        <v>2.2000000000000002</v>
      </c>
      <c r="J44" s="7">
        <v>0.4</v>
      </c>
      <c r="K44" s="19">
        <v>1.6</v>
      </c>
      <c r="L44" s="19"/>
      <c r="M44" s="19"/>
    </row>
    <row r="45" spans="2:13" ht="17" thickBot="1" x14ac:dyDescent="0.25">
      <c r="B45" s="20"/>
      <c r="C45" s="163" t="s">
        <v>46</v>
      </c>
      <c r="D45" s="163"/>
      <c r="E45" s="163"/>
      <c r="F45" s="163"/>
      <c r="G45" s="164"/>
      <c r="H45" s="135"/>
      <c r="I45" s="136"/>
      <c r="J45" s="137"/>
      <c r="K45" s="159"/>
      <c r="L45" s="136"/>
      <c r="M45" s="160"/>
    </row>
    <row r="47" spans="2:13" ht="3.75" customHeight="1" thickBot="1" x14ac:dyDescent="0.25"/>
    <row r="48" spans="2:13" ht="22" hidden="1" thickBot="1" x14ac:dyDescent="0.25">
      <c r="B48" s="6" t="s">
        <v>47</v>
      </c>
    </row>
    <row r="49" spans="2:13" ht="17" hidden="1" thickBot="1" x14ac:dyDescent="0.25"/>
    <row r="50" spans="2:13" ht="409.5" customHeight="1" x14ac:dyDescent="0.2">
      <c r="B50" s="129" t="s">
        <v>221</v>
      </c>
      <c r="C50" s="130"/>
      <c r="D50" s="130"/>
      <c r="E50" s="130"/>
      <c r="F50" s="130"/>
      <c r="G50" s="130"/>
      <c r="H50" s="130"/>
      <c r="I50" s="130"/>
      <c r="J50" s="130"/>
      <c r="K50" s="130"/>
      <c r="L50" s="130"/>
      <c r="M50" s="131"/>
    </row>
    <row r="51" spans="2:13" ht="130.5" customHeight="1" thickBot="1" x14ac:dyDescent="0.25">
      <c r="B51" s="132"/>
      <c r="C51" s="133"/>
      <c r="D51" s="133"/>
      <c r="E51" s="133"/>
      <c r="F51" s="133"/>
      <c r="G51" s="133"/>
      <c r="H51" s="133"/>
      <c r="I51" s="133"/>
      <c r="J51" s="133"/>
      <c r="K51" s="133"/>
      <c r="L51" s="133"/>
      <c r="M51" s="134"/>
    </row>
    <row r="52" spans="2:13" ht="24.75" customHeight="1" x14ac:dyDescent="0.2"/>
    <row r="53" spans="2:13" ht="16" customHeight="1" x14ac:dyDescent="0.2">
      <c r="B53" s="6" t="s">
        <v>48</v>
      </c>
    </row>
    <row r="54" spans="2:13" ht="16" customHeight="1" thickBot="1" x14ac:dyDescent="0.25"/>
    <row r="55" spans="2:13" ht="303.75" customHeight="1" thickBot="1" x14ac:dyDescent="0.25">
      <c r="B55" s="154" t="s">
        <v>247</v>
      </c>
      <c r="C55" s="155"/>
      <c r="D55" s="155"/>
      <c r="E55" s="155"/>
      <c r="F55" s="155"/>
      <c r="G55" s="155"/>
      <c r="H55" s="155"/>
      <c r="I55" s="155"/>
      <c r="J55" s="155"/>
      <c r="K55" s="155"/>
      <c r="L55" s="155"/>
      <c r="M55" s="156"/>
    </row>
    <row r="57" spans="2:13" ht="21" x14ac:dyDescent="0.2">
      <c r="B57" s="6" t="s">
        <v>49</v>
      </c>
    </row>
    <row r="58" spans="2:13" ht="17" thickBot="1" x14ac:dyDescent="0.25"/>
    <row r="59" spans="2:13" ht="27" customHeight="1" x14ac:dyDescent="0.2">
      <c r="B59" s="54" t="s">
        <v>6</v>
      </c>
      <c r="C59" s="55"/>
      <c r="D59" s="157" t="s">
        <v>50</v>
      </c>
      <c r="E59" s="157"/>
      <c r="F59" s="157"/>
      <c r="G59" s="157"/>
      <c r="H59" s="157"/>
      <c r="I59" s="157"/>
      <c r="J59" s="157"/>
      <c r="K59" s="157"/>
      <c r="L59" s="157"/>
      <c r="M59" s="158"/>
    </row>
    <row r="60" spans="2:13" ht="27" customHeight="1" x14ac:dyDescent="0.2">
      <c r="B60" s="90" t="s">
        <v>51</v>
      </c>
      <c r="C60" s="91"/>
      <c r="D60" s="93" t="s">
        <v>52</v>
      </c>
      <c r="E60" s="93"/>
      <c r="F60" s="93"/>
      <c r="G60" s="93"/>
      <c r="H60" s="93"/>
      <c r="I60" s="93"/>
      <c r="J60" s="93"/>
      <c r="K60" s="93"/>
      <c r="L60" s="93"/>
      <c r="M60" s="94"/>
    </row>
    <row r="61" spans="2:13" ht="32.25" customHeight="1" thickBot="1" x14ac:dyDescent="0.25">
      <c r="B61" s="83" t="s">
        <v>248</v>
      </c>
      <c r="C61" s="84"/>
      <c r="D61" s="138" t="s">
        <v>53</v>
      </c>
      <c r="E61" s="138"/>
      <c r="F61" s="138"/>
      <c r="G61" s="138"/>
      <c r="H61" s="138"/>
      <c r="I61" s="138"/>
      <c r="J61" s="138"/>
      <c r="K61" s="138"/>
      <c r="L61" s="138"/>
      <c r="M61" s="139"/>
    </row>
    <row r="63" spans="2:13" ht="21" x14ac:dyDescent="0.2">
      <c r="B63" s="6" t="s">
        <v>54</v>
      </c>
    </row>
    <row r="64" spans="2:13" ht="17" thickBot="1" x14ac:dyDescent="0.25"/>
    <row r="65" spans="1:13" ht="33" customHeight="1" x14ac:dyDescent="0.2">
      <c r="B65" s="56" t="s">
        <v>55</v>
      </c>
      <c r="C65" s="87" t="s">
        <v>56</v>
      </c>
      <c r="D65" s="168" t="s">
        <v>57</v>
      </c>
      <c r="E65" s="74"/>
      <c r="F65" s="74"/>
      <c r="G65" s="74" t="s">
        <v>58</v>
      </c>
      <c r="H65" s="74"/>
      <c r="I65" s="74"/>
      <c r="J65" s="74"/>
      <c r="K65" s="74"/>
      <c r="L65" s="74"/>
      <c r="M65" s="75"/>
    </row>
    <row r="66" spans="1:13" ht="34" customHeight="1" x14ac:dyDescent="0.2">
      <c r="B66" s="57"/>
      <c r="C66" s="88"/>
      <c r="D66" s="34" t="s">
        <v>59</v>
      </c>
      <c r="E66" s="34" t="s">
        <v>60</v>
      </c>
      <c r="F66" s="34" t="s">
        <v>61</v>
      </c>
      <c r="G66" s="76" t="s">
        <v>62</v>
      </c>
      <c r="H66" s="76"/>
      <c r="I66" s="76"/>
      <c r="J66" s="76"/>
      <c r="K66" s="76" t="s">
        <v>63</v>
      </c>
      <c r="L66" s="76"/>
      <c r="M66" s="77"/>
    </row>
    <row r="67" spans="1:13" ht="136" customHeight="1" x14ac:dyDescent="0.2">
      <c r="B67" s="35"/>
      <c r="C67" s="36" t="s">
        <v>64</v>
      </c>
      <c r="D67" s="36" t="s">
        <v>65</v>
      </c>
      <c r="E67" s="36" t="s">
        <v>66</v>
      </c>
      <c r="F67" s="36" t="s">
        <v>67</v>
      </c>
      <c r="G67" s="68" t="s">
        <v>68</v>
      </c>
      <c r="H67" s="68"/>
      <c r="I67" s="68"/>
      <c r="J67" s="68"/>
      <c r="K67" s="68" t="s">
        <v>69</v>
      </c>
      <c r="L67" s="68"/>
      <c r="M67" s="69"/>
    </row>
    <row r="68" spans="1:13" ht="97.5" customHeight="1" x14ac:dyDescent="0.2">
      <c r="B68" s="85" t="s">
        <v>70</v>
      </c>
      <c r="C68" s="8" t="s">
        <v>258</v>
      </c>
      <c r="D68" s="8" t="s">
        <v>71</v>
      </c>
      <c r="E68" s="8" t="s">
        <v>72</v>
      </c>
      <c r="F68" s="8" t="s">
        <v>73</v>
      </c>
      <c r="G68" s="62" t="s">
        <v>74</v>
      </c>
      <c r="H68" s="62"/>
      <c r="I68" s="62"/>
      <c r="J68" s="62"/>
      <c r="K68" s="44" t="s">
        <v>75</v>
      </c>
      <c r="L68" s="44"/>
      <c r="M68" s="45"/>
    </row>
    <row r="69" spans="1:13" ht="128.25" customHeight="1" x14ac:dyDescent="0.2">
      <c r="B69" s="85"/>
      <c r="C69" s="8" t="s">
        <v>259</v>
      </c>
      <c r="D69" s="8" t="s">
        <v>223</v>
      </c>
      <c r="E69" s="8" t="s">
        <v>76</v>
      </c>
      <c r="F69" s="8" t="s">
        <v>77</v>
      </c>
      <c r="G69" s="44" t="s">
        <v>74</v>
      </c>
      <c r="H69" s="44"/>
      <c r="I69" s="44"/>
      <c r="J69" s="44"/>
      <c r="K69" s="44" t="s">
        <v>78</v>
      </c>
      <c r="L69" s="44"/>
      <c r="M69" s="45"/>
    </row>
    <row r="70" spans="1:13" ht="187" x14ac:dyDescent="0.2">
      <c r="B70" s="85"/>
      <c r="C70" s="8" t="s">
        <v>260</v>
      </c>
      <c r="D70" s="8" t="s">
        <v>79</v>
      </c>
      <c r="E70" s="8" t="s">
        <v>261</v>
      </c>
      <c r="F70" s="8" t="s">
        <v>80</v>
      </c>
      <c r="G70" s="44" t="s">
        <v>74</v>
      </c>
      <c r="H70" s="44"/>
      <c r="I70" s="44"/>
      <c r="J70" s="44"/>
      <c r="K70" s="44" t="s">
        <v>81</v>
      </c>
      <c r="L70" s="44"/>
      <c r="M70" s="45"/>
    </row>
    <row r="71" spans="1:13" ht="170" x14ac:dyDescent="0.2">
      <c r="B71" s="85"/>
      <c r="C71" s="24" t="s">
        <v>262</v>
      </c>
      <c r="D71" s="8" t="s">
        <v>224</v>
      </c>
      <c r="E71" s="8" t="s">
        <v>82</v>
      </c>
      <c r="F71" s="8" t="s">
        <v>83</v>
      </c>
      <c r="G71" s="44" t="s">
        <v>74</v>
      </c>
      <c r="H71" s="44"/>
      <c r="I71" s="44"/>
      <c r="J71" s="44"/>
      <c r="K71" s="44" t="s">
        <v>84</v>
      </c>
      <c r="L71" s="44"/>
      <c r="M71" s="45"/>
    </row>
    <row r="72" spans="1:13" ht="207" customHeight="1" x14ac:dyDescent="0.2">
      <c r="B72" s="85" t="s">
        <v>85</v>
      </c>
      <c r="C72" s="8" t="s">
        <v>263</v>
      </c>
      <c r="D72" s="8" t="s">
        <v>225</v>
      </c>
      <c r="E72" s="8" t="s">
        <v>86</v>
      </c>
      <c r="F72" s="8" t="s">
        <v>87</v>
      </c>
      <c r="G72" s="44" t="s">
        <v>88</v>
      </c>
      <c r="H72" s="44"/>
      <c r="I72" s="44"/>
      <c r="J72" s="44"/>
      <c r="K72" s="44" t="s">
        <v>89</v>
      </c>
      <c r="L72" s="44"/>
      <c r="M72" s="45"/>
    </row>
    <row r="73" spans="1:13" ht="119" x14ac:dyDescent="0.2">
      <c r="B73" s="85"/>
      <c r="C73" s="8" t="s">
        <v>264</v>
      </c>
      <c r="D73" s="8" t="s">
        <v>90</v>
      </c>
      <c r="E73" s="8" t="s">
        <v>91</v>
      </c>
      <c r="F73" s="8" t="s">
        <v>92</v>
      </c>
      <c r="G73" s="44" t="s">
        <v>93</v>
      </c>
      <c r="H73" s="44"/>
      <c r="I73" s="44"/>
      <c r="J73" s="44"/>
      <c r="K73" s="44" t="s">
        <v>94</v>
      </c>
      <c r="L73" s="44"/>
      <c r="M73" s="45"/>
    </row>
    <row r="74" spans="1:13" ht="155.25" customHeight="1" x14ac:dyDescent="0.2">
      <c r="A74" s="9"/>
      <c r="B74" s="85"/>
      <c r="C74" s="66" t="s">
        <v>265</v>
      </c>
      <c r="D74" s="8" t="s">
        <v>95</v>
      </c>
      <c r="E74" s="8" t="s">
        <v>91</v>
      </c>
      <c r="F74" s="8" t="s">
        <v>96</v>
      </c>
      <c r="G74" s="62" t="s">
        <v>97</v>
      </c>
      <c r="H74" s="62"/>
      <c r="I74" s="62"/>
      <c r="J74" s="62"/>
      <c r="K74" s="44" t="s">
        <v>98</v>
      </c>
      <c r="L74" s="44"/>
      <c r="M74" s="45"/>
    </row>
    <row r="75" spans="1:13" ht="34" x14ac:dyDescent="0.2">
      <c r="B75" s="85"/>
      <c r="C75" s="66"/>
      <c r="D75" s="8" t="s">
        <v>99</v>
      </c>
      <c r="E75" s="8" t="s">
        <v>100</v>
      </c>
      <c r="F75" s="8" t="s">
        <v>96</v>
      </c>
      <c r="G75" s="44" t="s">
        <v>101</v>
      </c>
      <c r="H75" s="44"/>
      <c r="I75" s="44"/>
      <c r="J75" s="44"/>
      <c r="K75" s="44" t="s">
        <v>102</v>
      </c>
      <c r="L75" s="44"/>
      <c r="M75" s="45"/>
    </row>
    <row r="76" spans="1:13" ht="304" customHeight="1" x14ac:dyDescent="0.2">
      <c r="B76" s="85"/>
      <c r="C76" s="8" t="s">
        <v>266</v>
      </c>
      <c r="D76" s="8" t="s">
        <v>226</v>
      </c>
      <c r="E76" s="8" t="s">
        <v>100</v>
      </c>
      <c r="F76" s="8" t="s">
        <v>96</v>
      </c>
      <c r="G76" s="44" t="s">
        <v>103</v>
      </c>
      <c r="H76" s="44"/>
      <c r="I76" s="44"/>
      <c r="J76" s="44"/>
      <c r="K76" s="44" t="s">
        <v>104</v>
      </c>
      <c r="L76" s="44"/>
      <c r="M76" s="45"/>
    </row>
    <row r="77" spans="1:13" ht="133" customHeight="1" x14ac:dyDescent="0.2">
      <c r="B77" s="85"/>
      <c r="C77" s="24" t="s">
        <v>267</v>
      </c>
      <c r="D77" s="8" t="s">
        <v>105</v>
      </c>
      <c r="E77" s="8" t="s">
        <v>100</v>
      </c>
      <c r="F77" s="8" t="s">
        <v>96</v>
      </c>
      <c r="G77" s="44" t="s">
        <v>106</v>
      </c>
      <c r="H77" s="44"/>
      <c r="I77" s="44"/>
      <c r="J77" s="44"/>
      <c r="K77" s="44" t="s">
        <v>107</v>
      </c>
      <c r="L77" s="44"/>
      <c r="M77" s="45"/>
    </row>
    <row r="78" spans="1:13" ht="154.5" customHeight="1" x14ac:dyDescent="0.2">
      <c r="B78" s="38" t="s">
        <v>109</v>
      </c>
      <c r="C78" s="8" t="s">
        <v>268</v>
      </c>
      <c r="D78" s="8" t="s">
        <v>110</v>
      </c>
      <c r="E78" s="8" t="s">
        <v>111</v>
      </c>
      <c r="F78" s="10" t="s">
        <v>112</v>
      </c>
      <c r="G78" s="44" t="s">
        <v>113</v>
      </c>
      <c r="H78" s="44"/>
      <c r="I78" s="44"/>
      <c r="J78" s="44"/>
      <c r="K78" s="44" t="s">
        <v>114</v>
      </c>
      <c r="L78" s="44"/>
      <c r="M78" s="45"/>
    </row>
    <row r="79" spans="1:13" ht="169.5" customHeight="1" x14ac:dyDescent="0.2">
      <c r="B79" s="38"/>
      <c r="C79" s="25" t="s">
        <v>269</v>
      </c>
      <c r="D79" s="8" t="s">
        <v>227</v>
      </c>
      <c r="E79" s="8" t="s">
        <v>111</v>
      </c>
      <c r="F79" s="8" t="s">
        <v>115</v>
      </c>
      <c r="G79" s="44" t="s">
        <v>113</v>
      </c>
      <c r="H79" s="44"/>
      <c r="I79" s="44"/>
      <c r="J79" s="44"/>
      <c r="K79" s="44" t="s">
        <v>114</v>
      </c>
      <c r="L79" s="44"/>
      <c r="M79" s="45"/>
    </row>
    <row r="80" spans="1:13" ht="158.5" customHeight="1" thickBot="1" x14ac:dyDescent="0.25">
      <c r="B80" s="39"/>
      <c r="C80" s="26" t="s">
        <v>270</v>
      </c>
      <c r="D80" s="21" t="s">
        <v>116</v>
      </c>
      <c r="E80" s="21" t="s">
        <v>117</v>
      </c>
      <c r="F80" s="27" t="s">
        <v>118</v>
      </c>
      <c r="G80" s="46" t="s">
        <v>119</v>
      </c>
      <c r="H80" s="46"/>
      <c r="I80" s="46"/>
      <c r="J80" s="46"/>
      <c r="K80" s="46" t="s">
        <v>120</v>
      </c>
      <c r="L80" s="46"/>
      <c r="M80" s="47"/>
    </row>
    <row r="82" spans="2:13" ht="24.75" customHeight="1" x14ac:dyDescent="0.25">
      <c r="B82" s="70" t="s">
        <v>121</v>
      </c>
      <c r="C82" s="70"/>
      <c r="D82" s="70"/>
      <c r="E82" s="70"/>
      <c r="F82" s="70"/>
      <c r="G82" s="70"/>
      <c r="H82" s="70"/>
      <c r="I82" s="70"/>
      <c r="J82" s="70"/>
      <c r="K82" s="70"/>
      <c r="L82" s="70"/>
      <c r="M82" s="70"/>
    </row>
    <row r="83" spans="2:13" ht="17" thickBot="1" x14ac:dyDescent="0.25"/>
    <row r="84" spans="2:13" ht="28" customHeight="1" x14ac:dyDescent="0.2">
      <c r="B84" s="54" t="s">
        <v>4</v>
      </c>
      <c r="C84" s="55"/>
      <c r="D84" s="140" t="s">
        <v>122</v>
      </c>
      <c r="E84" s="140"/>
      <c r="F84" s="140"/>
      <c r="G84" s="140"/>
      <c r="H84" s="140"/>
      <c r="I84" s="140"/>
      <c r="J84" s="140"/>
      <c r="K84" s="140"/>
      <c r="L84" s="140"/>
      <c r="M84" s="141"/>
    </row>
    <row r="85" spans="2:13" ht="39" customHeight="1" x14ac:dyDescent="0.2">
      <c r="B85" s="161" t="s">
        <v>51</v>
      </c>
      <c r="C85" s="162"/>
      <c r="D85" s="169">
        <v>0.6</v>
      </c>
      <c r="E85" s="93"/>
      <c r="F85" s="93"/>
      <c r="G85" s="93"/>
      <c r="H85" s="93"/>
      <c r="I85" s="93"/>
      <c r="J85" s="93"/>
      <c r="K85" s="93"/>
      <c r="L85" s="93"/>
      <c r="M85" s="94"/>
    </row>
    <row r="86" spans="2:13" ht="54" customHeight="1" thickBot="1" x14ac:dyDescent="0.25">
      <c r="B86" s="83" t="s">
        <v>244</v>
      </c>
      <c r="C86" s="119"/>
      <c r="D86" s="142">
        <v>0.3</v>
      </c>
      <c r="E86" s="143"/>
      <c r="F86" s="143"/>
      <c r="G86" s="143"/>
      <c r="H86" s="143"/>
      <c r="I86" s="143"/>
      <c r="J86" s="143"/>
      <c r="K86" s="143"/>
      <c r="L86" s="143"/>
      <c r="M86" s="144"/>
    </row>
    <row r="88" spans="2:13" ht="21" x14ac:dyDescent="0.2">
      <c r="B88" s="6" t="s">
        <v>123</v>
      </c>
    </row>
    <row r="89" spans="2:13" ht="17" thickBot="1" x14ac:dyDescent="0.25"/>
    <row r="90" spans="2:13" ht="37" customHeight="1" x14ac:dyDescent="0.2">
      <c r="B90" s="56" t="s">
        <v>55</v>
      </c>
      <c r="C90" s="87" t="s">
        <v>56</v>
      </c>
      <c r="D90" s="168" t="s">
        <v>57</v>
      </c>
      <c r="E90" s="74"/>
      <c r="F90" s="74"/>
      <c r="G90" s="74" t="s">
        <v>58</v>
      </c>
      <c r="H90" s="74"/>
      <c r="I90" s="74"/>
      <c r="J90" s="74"/>
      <c r="K90" s="74"/>
      <c r="L90" s="74"/>
      <c r="M90" s="75"/>
    </row>
    <row r="91" spans="2:13" ht="31.5" customHeight="1" x14ac:dyDescent="0.2">
      <c r="B91" s="57"/>
      <c r="C91" s="88"/>
      <c r="D91" s="34" t="s">
        <v>59</v>
      </c>
      <c r="E91" s="34" t="s">
        <v>60</v>
      </c>
      <c r="F91" s="34" t="s">
        <v>61</v>
      </c>
      <c r="G91" s="76" t="s">
        <v>62</v>
      </c>
      <c r="H91" s="76"/>
      <c r="I91" s="76"/>
      <c r="J91" s="76"/>
      <c r="K91" s="76" t="s">
        <v>63</v>
      </c>
      <c r="L91" s="76"/>
      <c r="M91" s="77"/>
    </row>
    <row r="92" spans="2:13" ht="61.5" customHeight="1" x14ac:dyDescent="0.2">
      <c r="B92" s="35"/>
      <c r="C92" s="36" t="s">
        <v>64</v>
      </c>
      <c r="D92" s="36" t="s">
        <v>65</v>
      </c>
      <c r="E92" s="36" t="s">
        <v>66</v>
      </c>
      <c r="F92" s="36" t="s">
        <v>67</v>
      </c>
      <c r="G92" s="68" t="s">
        <v>68</v>
      </c>
      <c r="H92" s="68"/>
      <c r="I92" s="68"/>
      <c r="J92" s="68"/>
      <c r="K92" s="68" t="s">
        <v>69</v>
      </c>
      <c r="L92" s="68"/>
      <c r="M92" s="69"/>
    </row>
    <row r="93" spans="2:13" ht="209.5" customHeight="1" x14ac:dyDescent="0.2">
      <c r="B93" s="85" t="s">
        <v>242</v>
      </c>
      <c r="C93" s="11" t="s">
        <v>252</v>
      </c>
      <c r="D93" s="11" t="s">
        <v>239</v>
      </c>
      <c r="E93" s="11" t="s">
        <v>124</v>
      </c>
      <c r="F93" s="28" t="s">
        <v>125</v>
      </c>
      <c r="G93" s="98" t="s">
        <v>126</v>
      </c>
      <c r="H93" s="98"/>
      <c r="I93" s="98"/>
      <c r="J93" s="98"/>
      <c r="K93" s="66" t="s">
        <v>127</v>
      </c>
      <c r="L93" s="66"/>
      <c r="M93" s="89"/>
    </row>
    <row r="94" spans="2:13" ht="170" x14ac:dyDescent="0.2">
      <c r="B94" s="85"/>
      <c r="C94" s="11" t="s">
        <v>253</v>
      </c>
      <c r="D94" s="29" t="s">
        <v>228</v>
      </c>
      <c r="E94" s="11" t="s">
        <v>128</v>
      </c>
      <c r="F94" s="11" t="s">
        <v>129</v>
      </c>
      <c r="G94" s="98" t="s">
        <v>126</v>
      </c>
      <c r="H94" s="98"/>
      <c r="I94" s="98"/>
      <c r="J94" s="98"/>
      <c r="K94" s="66" t="s">
        <v>130</v>
      </c>
      <c r="L94" s="66"/>
      <c r="M94" s="89"/>
    </row>
    <row r="95" spans="2:13" ht="67" customHeight="1" x14ac:dyDescent="0.2">
      <c r="B95" s="85"/>
      <c r="C95" s="11" t="s">
        <v>254</v>
      </c>
      <c r="D95" s="11" t="s">
        <v>229</v>
      </c>
      <c r="E95" s="11" t="s">
        <v>131</v>
      </c>
      <c r="F95" s="11" t="s">
        <v>129</v>
      </c>
      <c r="G95" s="98" t="s">
        <v>126</v>
      </c>
      <c r="H95" s="98"/>
      <c r="I95" s="98"/>
      <c r="J95" s="98"/>
      <c r="K95" s="66" t="s">
        <v>130</v>
      </c>
      <c r="L95" s="66"/>
      <c r="M95" s="89"/>
    </row>
    <row r="96" spans="2:13" ht="237" customHeight="1" x14ac:dyDescent="0.2">
      <c r="B96" s="85" t="s">
        <v>85</v>
      </c>
      <c r="C96" s="61" t="s">
        <v>255</v>
      </c>
      <c r="D96" s="14" t="s">
        <v>230</v>
      </c>
      <c r="E96" s="14" t="s">
        <v>132</v>
      </c>
      <c r="F96" s="14" t="s">
        <v>133</v>
      </c>
      <c r="G96" s="79" t="s">
        <v>256</v>
      </c>
      <c r="H96" s="79"/>
      <c r="I96" s="79"/>
      <c r="J96" s="79"/>
      <c r="K96" s="61" t="s">
        <v>134</v>
      </c>
      <c r="L96" s="61"/>
      <c r="M96" s="99"/>
    </row>
    <row r="97" spans="2:13" ht="119" x14ac:dyDescent="0.2">
      <c r="B97" s="85"/>
      <c r="C97" s="61"/>
      <c r="D97" s="14" t="s">
        <v>231</v>
      </c>
      <c r="E97" s="14" t="s">
        <v>135</v>
      </c>
      <c r="F97" s="14" t="s">
        <v>136</v>
      </c>
      <c r="G97" s="79"/>
      <c r="H97" s="79"/>
      <c r="I97" s="79"/>
      <c r="J97" s="79"/>
      <c r="K97" s="61" t="s">
        <v>137</v>
      </c>
      <c r="L97" s="61"/>
      <c r="M97" s="99"/>
    </row>
    <row r="98" spans="2:13" ht="275" customHeight="1" x14ac:dyDescent="0.2">
      <c r="B98" s="85"/>
      <c r="C98" s="61"/>
      <c r="D98" s="11" t="s">
        <v>232</v>
      </c>
      <c r="E98" s="8" t="s">
        <v>138</v>
      </c>
      <c r="F98" s="8" t="s">
        <v>139</v>
      </c>
      <c r="G98" s="44" t="s">
        <v>140</v>
      </c>
      <c r="H98" s="62"/>
      <c r="I98" s="62"/>
      <c r="J98" s="62"/>
      <c r="K98" s="44" t="s">
        <v>137</v>
      </c>
      <c r="L98" s="44"/>
      <c r="M98" s="45"/>
    </row>
    <row r="99" spans="2:13" ht="126" customHeight="1" x14ac:dyDescent="0.2">
      <c r="B99" s="85"/>
      <c r="C99" s="61"/>
      <c r="D99" s="11" t="s">
        <v>141</v>
      </c>
      <c r="E99" s="8" t="s">
        <v>142</v>
      </c>
      <c r="F99" s="8" t="s">
        <v>233</v>
      </c>
      <c r="G99" s="62" t="s">
        <v>126</v>
      </c>
      <c r="H99" s="62"/>
      <c r="I99" s="62"/>
      <c r="J99" s="62"/>
      <c r="K99" s="66" t="s">
        <v>143</v>
      </c>
      <c r="L99" s="66"/>
      <c r="M99" s="89"/>
    </row>
    <row r="100" spans="2:13" ht="0.75" customHeight="1" x14ac:dyDescent="0.2">
      <c r="B100" s="32"/>
      <c r="C100" s="30"/>
      <c r="D100" s="29"/>
      <c r="E100" s="29"/>
      <c r="F100" s="30"/>
      <c r="G100" s="167"/>
      <c r="H100" s="167"/>
      <c r="I100" s="167"/>
      <c r="J100" s="167"/>
      <c r="K100" s="167"/>
      <c r="L100" s="167"/>
      <c r="M100" s="171"/>
    </row>
    <row r="101" spans="2:13" ht="62" customHeight="1" x14ac:dyDescent="0.2">
      <c r="B101" s="85" t="s">
        <v>108</v>
      </c>
      <c r="C101" s="81" t="s">
        <v>257</v>
      </c>
      <c r="D101" s="31" t="s">
        <v>144</v>
      </c>
      <c r="E101" s="66" t="s">
        <v>142</v>
      </c>
      <c r="F101" s="66" t="s">
        <v>145</v>
      </c>
      <c r="G101" s="62" t="s">
        <v>146</v>
      </c>
      <c r="H101" s="62"/>
      <c r="I101" s="62"/>
      <c r="J101" s="62"/>
      <c r="K101" s="66" t="s">
        <v>147</v>
      </c>
      <c r="L101" s="66"/>
      <c r="M101" s="89"/>
    </row>
    <row r="102" spans="2:13" ht="54" customHeight="1" x14ac:dyDescent="0.2">
      <c r="B102" s="85"/>
      <c r="C102" s="81"/>
      <c r="D102" s="29" t="s">
        <v>148</v>
      </c>
      <c r="E102" s="66"/>
      <c r="F102" s="66"/>
      <c r="G102" s="62"/>
      <c r="H102" s="62"/>
      <c r="I102" s="62"/>
      <c r="J102" s="62"/>
      <c r="K102" s="66"/>
      <c r="L102" s="66"/>
      <c r="M102" s="89"/>
    </row>
    <row r="103" spans="2:13" ht="59" customHeight="1" x14ac:dyDescent="0.2">
      <c r="B103" s="85"/>
      <c r="C103" s="81"/>
      <c r="D103" s="29" t="s">
        <v>149</v>
      </c>
      <c r="E103" s="66"/>
      <c r="F103" s="66"/>
      <c r="G103" s="62"/>
      <c r="H103" s="62"/>
      <c r="I103" s="62"/>
      <c r="J103" s="62"/>
      <c r="K103" s="66"/>
      <c r="L103" s="66"/>
      <c r="M103" s="89"/>
    </row>
    <row r="104" spans="2:13" ht="87.5" customHeight="1" x14ac:dyDescent="0.2">
      <c r="B104" s="85"/>
      <c r="C104" s="81"/>
      <c r="D104" s="11" t="s">
        <v>150</v>
      </c>
      <c r="E104" s="66"/>
      <c r="F104" s="66"/>
      <c r="G104" s="62"/>
      <c r="H104" s="62"/>
      <c r="I104" s="62"/>
      <c r="J104" s="62"/>
      <c r="K104" s="66"/>
      <c r="L104" s="66"/>
      <c r="M104" s="89"/>
    </row>
    <row r="105" spans="2:13" ht="49" customHeight="1" thickBot="1" x14ac:dyDescent="0.25">
      <c r="B105" s="86"/>
      <c r="C105" s="97"/>
      <c r="D105" s="33" t="s">
        <v>222</v>
      </c>
      <c r="E105" s="67"/>
      <c r="F105" s="67"/>
      <c r="G105" s="60"/>
      <c r="H105" s="60"/>
      <c r="I105" s="60"/>
      <c r="J105" s="60"/>
      <c r="K105" s="67"/>
      <c r="L105" s="67"/>
      <c r="M105" s="170"/>
    </row>
    <row r="107" spans="2:13" ht="21" x14ac:dyDescent="0.25">
      <c r="B107" s="12" t="s">
        <v>151</v>
      </c>
    </row>
    <row r="108" spans="2:13" ht="17" thickBot="1" x14ac:dyDescent="0.25">
      <c r="B108" s="13"/>
      <c r="C108" s="22"/>
    </row>
    <row r="109" spans="2:13" ht="59.25" customHeight="1" x14ac:dyDescent="0.2">
      <c r="B109" s="54" t="s">
        <v>6</v>
      </c>
      <c r="C109" s="55"/>
      <c r="D109" s="140" t="s">
        <v>152</v>
      </c>
      <c r="E109" s="140"/>
      <c r="F109" s="140"/>
      <c r="G109" s="140"/>
      <c r="H109" s="140"/>
      <c r="I109" s="140"/>
      <c r="J109" s="140"/>
      <c r="K109" s="140"/>
      <c r="L109" s="140"/>
      <c r="M109" s="141"/>
    </row>
    <row r="110" spans="2:13" ht="33" customHeight="1" x14ac:dyDescent="0.2">
      <c r="B110" s="90" t="s">
        <v>51</v>
      </c>
      <c r="C110" s="91"/>
      <c r="D110" s="92">
        <v>0.7</v>
      </c>
      <c r="E110" s="93"/>
      <c r="F110" s="93"/>
      <c r="G110" s="93"/>
      <c r="H110" s="93"/>
      <c r="I110" s="93"/>
      <c r="J110" s="93"/>
      <c r="K110" s="93"/>
      <c r="L110" s="93"/>
      <c r="M110" s="94"/>
    </row>
    <row r="111" spans="2:13" ht="40" customHeight="1" thickBot="1" x14ac:dyDescent="0.25">
      <c r="B111" s="83" t="s">
        <v>249</v>
      </c>
      <c r="C111" s="84"/>
      <c r="D111" s="138" t="s">
        <v>153</v>
      </c>
      <c r="E111" s="138"/>
      <c r="F111" s="138"/>
      <c r="G111" s="138"/>
      <c r="H111" s="138"/>
      <c r="I111" s="138"/>
      <c r="J111" s="138"/>
      <c r="K111" s="138"/>
      <c r="L111" s="138"/>
      <c r="M111" s="139"/>
    </row>
    <row r="112" spans="2:13" x14ac:dyDescent="0.2">
      <c r="B112" s="13"/>
      <c r="C112" s="22"/>
    </row>
    <row r="114" spans="2:13" ht="21" x14ac:dyDescent="0.2">
      <c r="B114" s="6" t="s">
        <v>154</v>
      </c>
    </row>
    <row r="115" spans="2:13" ht="17" thickBot="1" x14ac:dyDescent="0.25"/>
    <row r="116" spans="2:13" x14ac:dyDescent="0.2">
      <c r="B116" s="56" t="s">
        <v>55</v>
      </c>
      <c r="C116" s="87" t="s">
        <v>56</v>
      </c>
      <c r="D116" s="95" t="s">
        <v>57</v>
      </c>
      <c r="E116" s="87"/>
      <c r="F116" s="87"/>
      <c r="G116" s="87" t="s">
        <v>58</v>
      </c>
      <c r="H116" s="87"/>
      <c r="I116" s="87"/>
      <c r="J116" s="87"/>
      <c r="K116" s="87"/>
      <c r="L116" s="87"/>
      <c r="M116" s="96"/>
    </row>
    <row r="117" spans="2:13" ht="15.75" customHeight="1" x14ac:dyDescent="0.2">
      <c r="B117" s="57"/>
      <c r="C117" s="88"/>
      <c r="D117" s="34" t="s">
        <v>59</v>
      </c>
      <c r="E117" s="34" t="s">
        <v>60</v>
      </c>
      <c r="F117" s="34" t="s">
        <v>61</v>
      </c>
      <c r="G117" s="76" t="s">
        <v>62</v>
      </c>
      <c r="H117" s="76"/>
      <c r="I117" s="76"/>
      <c r="J117" s="76"/>
      <c r="K117" s="76" t="s">
        <v>63</v>
      </c>
      <c r="L117" s="76"/>
      <c r="M117" s="77"/>
    </row>
    <row r="118" spans="2:13" ht="75" customHeight="1" x14ac:dyDescent="0.2">
      <c r="B118" s="35"/>
      <c r="C118" s="36" t="s">
        <v>64</v>
      </c>
      <c r="D118" s="36" t="s">
        <v>65</v>
      </c>
      <c r="E118" s="36" t="s">
        <v>66</v>
      </c>
      <c r="F118" s="36" t="s">
        <v>67</v>
      </c>
      <c r="G118" s="68" t="s">
        <v>68</v>
      </c>
      <c r="H118" s="68"/>
      <c r="I118" s="68"/>
      <c r="J118" s="68"/>
      <c r="K118" s="68" t="s">
        <v>69</v>
      </c>
      <c r="L118" s="68"/>
      <c r="M118" s="69"/>
    </row>
    <row r="119" spans="2:13" ht="179.5" customHeight="1" x14ac:dyDescent="0.2">
      <c r="B119" s="145" t="s">
        <v>242</v>
      </c>
      <c r="C119" s="11" t="s">
        <v>271</v>
      </c>
      <c r="D119" s="11" t="s">
        <v>272</v>
      </c>
      <c r="E119" s="8" t="s">
        <v>155</v>
      </c>
      <c r="F119" s="8" t="s">
        <v>156</v>
      </c>
      <c r="G119" s="44" t="s">
        <v>157</v>
      </c>
      <c r="H119" s="44"/>
      <c r="I119" s="44"/>
      <c r="J119" s="44"/>
      <c r="K119" s="81" t="s">
        <v>158</v>
      </c>
      <c r="L119" s="81"/>
      <c r="M119" s="82"/>
    </row>
    <row r="120" spans="2:13" ht="170" x14ac:dyDescent="0.2">
      <c r="B120" s="145"/>
      <c r="C120" s="11" t="s">
        <v>273</v>
      </c>
      <c r="D120" s="11" t="s">
        <v>237</v>
      </c>
      <c r="E120" s="8" t="s">
        <v>159</v>
      </c>
      <c r="F120" s="8" t="s">
        <v>160</v>
      </c>
      <c r="G120" s="44" t="s">
        <v>161</v>
      </c>
      <c r="H120" s="44"/>
      <c r="I120" s="44"/>
      <c r="J120" s="44"/>
      <c r="K120" s="81"/>
      <c r="L120" s="81"/>
      <c r="M120" s="82"/>
    </row>
    <row r="121" spans="2:13" ht="101.25" customHeight="1" x14ac:dyDescent="0.2">
      <c r="B121" s="145"/>
      <c r="C121" s="15" t="s">
        <v>274</v>
      </c>
      <c r="D121" s="8" t="s">
        <v>162</v>
      </c>
      <c r="E121" s="8" t="s">
        <v>163</v>
      </c>
      <c r="F121" s="8" t="s">
        <v>156</v>
      </c>
      <c r="G121" s="44" t="s">
        <v>275</v>
      </c>
      <c r="H121" s="44"/>
      <c r="I121" s="44"/>
      <c r="J121" s="44"/>
      <c r="K121" s="81" t="s">
        <v>164</v>
      </c>
      <c r="L121" s="165"/>
      <c r="M121" s="166"/>
    </row>
    <row r="122" spans="2:13" ht="272" x14ac:dyDescent="0.2">
      <c r="B122" s="63" t="s">
        <v>85</v>
      </c>
      <c r="C122" s="8" t="s">
        <v>276</v>
      </c>
      <c r="D122" s="11" t="s">
        <v>238</v>
      </c>
      <c r="E122" s="8" t="s">
        <v>165</v>
      </c>
      <c r="F122" s="8" t="s">
        <v>166</v>
      </c>
      <c r="G122" s="62" t="s">
        <v>167</v>
      </c>
      <c r="H122" s="62"/>
      <c r="I122" s="62"/>
      <c r="J122" s="62"/>
      <c r="K122" s="81" t="s">
        <v>168</v>
      </c>
      <c r="L122" s="165"/>
      <c r="M122" s="166"/>
    </row>
    <row r="123" spans="2:13" ht="136" x14ac:dyDescent="0.2">
      <c r="B123" s="64"/>
      <c r="C123" s="15" t="s">
        <v>277</v>
      </c>
      <c r="D123" s="37" t="s">
        <v>234</v>
      </c>
      <c r="E123" s="8" t="s">
        <v>169</v>
      </c>
      <c r="F123" s="8" t="s">
        <v>170</v>
      </c>
      <c r="G123" s="44" t="s">
        <v>171</v>
      </c>
      <c r="H123" s="44"/>
      <c r="I123" s="44"/>
      <c r="J123" s="44"/>
      <c r="K123" s="81" t="s">
        <v>172</v>
      </c>
      <c r="L123" s="81"/>
      <c r="M123" s="82"/>
    </row>
    <row r="124" spans="2:13" ht="141.75" customHeight="1" x14ac:dyDescent="0.2">
      <c r="B124" s="64"/>
      <c r="C124" s="61" t="s">
        <v>278</v>
      </c>
      <c r="D124" s="23" t="s">
        <v>174</v>
      </c>
      <c r="E124" s="8" t="s">
        <v>169</v>
      </c>
      <c r="F124" s="23" t="s">
        <v>175</v>
      </c>
      <c r="G124" s="62" t="s">
        <v>167</v>
      </c>
      <c r="H124" s="62"/>
      <c r="I124" s="62"/>
      <c r="J124" s="62"/>
      <c r="K124" s="44" t="s">
        <v>187</v>
      </c>
      <c r="L124" s="44"/>
      <c r="M124" s="45"/>
    </row>
    <row r="125" spans="2:13" ht="128.5" customHeight="1" x14ac:dyDescent="0.2">
      <c r="B125" s="65"/>
      <c r="C125" s="61"/>
      <c r="D125" s="8" t="s">
        <v>176</v>
      </c>
      <c r="E125" s="8" t="s">
        <v>169</v>
      </c>
      <c r="F125" s="8" t="s">
        <v>173</v>
      </c>
      <c r="G125" s="44" t="s">
        <v>177</v>
      </c>
      <c r="H125" s="44"/>
      <c r="I125" s="44"/>
      <c r="J125" s="44"/>
      <c r="K125" s="81" t="s">
        <v>172</v>
      </c>
      <c r="L125" s="81"/>
      <c r="M125" s="82"/>
    </row>
    <row r="126" spans="2:13" ht="124" customHeight="1" x14ac:dyDescent="0.2">
      <c r="B126" s="38" t="s">
        <v>178</v>
      </c>
      <c r="C126" s="40" t="s">
        <v>279</v>
      </c>
      <c r="D126" s="11" t="s">
        <v>179</v>
      </c>
      <c r="E126" s="11" t="s">
        <v>180</v>
      </c>
      <c r="F126" s="11" t="s">
        <v>181</v>
      </c>
      <c r="G126" s="66" t="s">
        <v>182</v>
      </c>
      <c r="H126" s="66"/>
      <c r="I126" s="66"/>
      <c r="J126" s="66"/>
      <c r="K126" s="44" t="s">
        <v>187</v>
      </c>
      <c r="L126" s="44"/>
      <c r="M126" s="45"/>
    </row>
    <row r="127" spans="2:13" ht="79.5" customHeight="1" x14ac:dyDescent="0.2">
      <c r="B127" s="38"/>
      <c r="C127" s="40"/>
      <c r="D127" s="11" t="s">
        <v>183</v>
      </c>
      <c r="E127" s="8" t="s">
        <v>184</v>
      </c>
      <c r="F127" s="8" t="s">
        <v>185</v>
      </c>
      <c r="G127" s="62" t="s">
        <v>186</v>
      </c>
      <c r="H127" s="62"/>
      <c r="I127" s="62"/>
      <c r="J127" s="62"/>
      <c r="K127" s="44" t="s">
        <v>187</v>
      </c>
      <c r="L127" s="44"/>
      <c r="M127" s="45"/>
    </row>
    <row r="128" spans="2:13" ht="56" customHeight="1" thickBot="1" x14ac:dyDescent="0.25">
      <c r="B128" s="39"/>
      <c r="C128" s="41"/>
      <c r="D128" s="33" t="s">
        <v>188</v>
      </c>
      <c r="E128" s="21" t="s">
        <v>235</v>
      </c>
      <c r="F128" s="33" t="s">
        <v>181</v>
      </c>
      <c r="G128" s="60" t="s">
        <v>186</v>
      </c>
      <c r="H128" s="60"/>
      <c r="I128" s="60"/>
      <c r="J128" s="60"/>
      <c r="K128" s="46" t="s">
        <v>187</v>
      </c>
      <c r="L128" s="46"/>
      <c r="M128" s="47"/>
    </row>
    <row r="129" spans="2:13" ht="42" customHeight="1" x14ac:dyDescent="0.25">
      <c r="B129" s="70" t="s">
        <v>189</v>
      </c>
      <c r="C129" s="70"/>
      <c r="D129" s="70"/>
      <c r="E129" s="70"/>
      <c r="F129" s="70"/>
      <c r="G129" s="70"/>
      <c r="H129" s="70"/>
      <c r="I129" s="70"/>
      <c r="J129" s="70"/>
      <c r="K129" s="70"/>
      <c r="L129" s="70"/>
      <c r="M129" s="70"/>
    </row>
    <row r="130" spans="2:13" ht="17" thickBot="1" x14ac:dyDescent="0.25"/>
    <row r="131" spans="2:13" ht="58" customHeight="1" x14ac:dyDescent="0.2">
      <c r="B131" s="54" t="s">
        <v>6</v>
      </c>
      <c r="C131" s="55"/>
      <c r="D131" s="71" t="s">
        <v>190</v>
      </c>
      <c r="E131" s="72"/>
      <c r="F131" s="72"/>
      <c r="G131" s="72"/>
      <c r="H131" s="72"/>
      <c r="I131" s="72"/>
      <c r="J131" s="72"/>
      <c r="K131" s="72"/>
      <c r="L131" s="72"/>
      <c r="M131" s="73"/>
    </row>
    <row r="132" spans="2:13" x14ac:dyDescent="0.2">
      <c r="B132" s="48" t="s">
        <v>51</v>
      </c>
      <c r="C132" s="49"/>
      <c r="D132" s="50" t="s">
        <v>191</v>
      </c>
      <c r="E132" s="44"/>
      <c r="F132" s="44"/>
      <c r="G132" s="44"/>
      <c r="H132" s="44"/>
      <c r="I132" s="44"/>
      <c r="J132" s="44"/>
      <c r="K132" s="44"/>
      <c r="L132" s="44"/>
      <c r="M132" s="45"/>
    </row>
    <row r="133" spans="2:13" x14ac:dyDescent="0.2">
      <c r="B133" s="48" t="s">
        <v>250</v>
      </c>
      <c r="C133" s="49"/>
      <c r="D133" s="50" t="s">
        <v>192</v>
      </c>
      <c r="E133" s="44"/>
      <c r="F133" s="44"/>
      <c r="G133" s="44"/>
      <c r="H133" s="44"/>
      <c r="I133" s="44"/>
      <c r="J133" s="44"/>
      <c r="K133" s="44"/>
      <c r="L133" s="44"/>
      <c r="M133" s="45"/>
    </row>
    <row r="134" spans="2:13" ht="17" thickBot="1" x14ac:dyDescent="0.25">
      <c r="B134" s="51" t="s">
        <v>251</v>
      </c>
      <c r="C134" s="52"/>
      <c r="D134" s="53" t="s">
        <v>193</v>
      </c>
      <c r="E134" s="46"/>
      <c r="F134" s="46"/>
      <c r="G134" s="46"/>
      <c r="H134" s="46"/>
      <c r="I134" s="46"/>
      <c r="J134" s="46"/>
      <c r="K134" s="46"/>
      <c r="L134" s="46"/>
      <c r="M134" s="47"/>
    </row>
    <row r="136" spans="2:13" ht="21" x14ac:dyDescent="0.2">
      <c r="B136" s="6" t="s">
        <v>289</v>
      </c>
    </row>
    <row r="137" spans="2:13" ht="17" thickBot="1" x14ac:dyDescent="0.25"/>
    <row r="138" spans="2:13" x14ac:dyDescent="0.2">
      <c r="B138" s="56" t="s">
        <v>55</v>
      </c>
      <c r="C138" s="58" t="s">
        <v>194</v>
      </c>
      <c r="D138" s="168" t="s">
        <v>57</v>
      </c>
      <c r="E138" s="74"/>
      <c r="F138" s="74"/>
      <c r="G138" s="74" t="s">
        <v>58</v>
      </c>
      <c r="H138" s="74"/>
      <c r="I138" s="74"/>
      <c r="J138" s="74"/>
      <c r="K138" s="74"/>
      <c r="L138" s="74"/>
      <c r="M138" s="75"/>
    </row>
    <row r="139" spans="2:13" ht="15.75" customHeight="1" x14ac:dyDescent="0.2">
      <c r="B139" s="57"/>
      <c r="C139" s="59"/>
      <c r="D139" s="34" t="s">
        <v>59</v>
      </c>
      <c r="E139" s="34" t="s">
        <v>60</v>
      </c>
      <c r="F139" s="34" t="s">
        <v>61</v>
      </c>
      <c r="G139" s="76" t="s">
        <v>62</v>
      </c>
      <c r="H139" s="76"/>
      <c r="I139" s="76"/>
      <c r="J139" s="76"/>
      <c r="K139" s="76" t="s">
        <v>63</v>
      </c>
      <c r="L139" s="76"/>
      <c r="M139" s="77"/>
    </row>
    <row r="140" spans="2:13" ht="92.25" customHeight="1" x14ac:dyDescent="0.2">
      <c r="B140" s="35"/>
      <c r="C140" s="36" t="s">
        <v>64</v>
      </c>
      <c r="D140" s="36" t="s">
        <v>65</v>
      </c>
      <c r="E140" s="36" t="s">
        <v>66</v>
      </c>
      <c r="F140" s="36" t="s">
        <v>67</v>
      </c>
      <c r="G140" s="68" t="s">
        <v>68</v>
      </c>
      <c r="H140" s="68"/>
      <c r="I140" s="68"/>
      <c r="J140" s="68"/>
      <c r="K140" s="68" t="s">
        <v>69</v>
      </c>
      <c r="L140" s="68"/>
      <c r="M140" s="69"/>
    </row>
    <row r="141" spans="2:13" ht="159" customHeight="1" x14ac:dyDescent="0.2">
      <c r="B141" s="63" t="s">
        <v>195</v>
      </c>
      <c r="C141" s="11" t="s">
        <v>280</v>
      </c>
      <c r="D141" s="11" t="s">
        <v>236</v>
      </c>
      <c r="E141" s="11" t="s">
        <v>142</v>
      </c>
      <c r="F141" s="11" t="s">
        <v>196</v>
      </c>
      <c r="G141" s="44" t="s">
        <v>197</v>
      </c>
      <c r="H141" s="44"/>
      <c r="I141" s="44"/>
      <c r="J141" s="44"/>
      <c r="K141" s="44" t="s">
        <v>198</v>
      </c>
      <c r="L141" s="44"/>
      <c r="M141" s="45"/>
    </row>
    <row r="142" spans="2:13" ht="175" customHeight="1" x14ac:dyDescent="0.2">
      <c r="B142" s="64"/>
      <c r="C142" s="11" t="s">
        <v>281</v>
      </c>
      <c r="D142" s="11" t="s">
        <v>290</v>
      </c>
      <c r="E142" s="14" t="s">
        <v>241</v>
      </c>
      <c r="F142" s="14" t="s">
        <v>201</v>
      </c>
      <c r="G142" s="79" t="s">
        <v>197</v>
      </c>
      <c r="H142" s="79"/>
      <c r="I142" s="79"/>
      <c r="J142" s="79"/>
      <c r="K142" s="79" t="s">
        <v>240</v>
      </c>
      <c r="L142" s="79"/>
      <c r="M142" s="80"/>
    </row>
    <row r="143" spans="2:13" ht="117" customHeight="1" x14ac:dyDescent="0.2">
      <c r="B143" s="64"/>
      <c r="C143" s="14" t="s">
        <v>282</v>
      </c>
      <c r="D143" s="11" t="s">
        <v>200</v>
      </c>
      <c r="E143" s="14" t="s">
        <v>169</v>
      </c>
      <c r="F143" s="11" t="s">
        <v>201</v>
      </c>
      <c r="G143" s="44" t="s">
        <v>199</v>
      </c>
      <c r="H143" s="44"/>
      <c r="I143" s="44"/>
      <c r="J143" s="44"/>
      <c r="K143" s="81" t="s">
        <v>202</v>
      </c>
      <c r="L143" s="81"/>
      <c r="M143" s="82"/>
    </row>
    <row r="144" spans="2:13" ht="83.25" customHeight="1" x14ac:dyDescent="0.2">
      <c r="B144" s="64"/>
      <c r="C144" s="11" t="s">
        <v>283</v>
      </c>
      <c r="D144" s="11" t="s">
        <v>203</v>
      </c>
      <c r="E144" s="11" t="s">
        <v>169</v>
      </c>
      <c r="F144" s="11" t="s">
        <v>204</v>
      </c>
      <c r="G144" s="44" t="s">
        <v>205</v>
      </c>
      <c r="H144" s="44"/>
      <c r="I144" s="44"/>
      <c r="J144" s="44"/>
      <c r="K144" s="66" t="s">
        <v>206</v>
      </c>
      <c r="L144" s="66"/>
      <c r="M144" s="89"/>
    </row>
    <row r="145" spans="2:13" ht="221" customHeight="1" x14ac:dyDescent="0.2">
      <c r="B145" s="64"/>
      <c r="C145" s="11" t="s">
        <v>284</v>
      </c>
      <c r="D145" s="11" t="s">
        <v>291</v>
      </c>
      <c r="E145" s="11" t="s">
        <v>142</v>
      </c>
      <c r="F145" s="11" t="s">
        <v>207</v>
      </c>
      <c r="G145" s="44" t="s">
        <v>208</v>
      </c>
      <c r="H145" s="44"/>
      <c r="I145" s="44"/>
      <c r="J145" s="44"/>
      <c r="K145" s="42" t="s">
        <v>209</v>
      </c>
      <c r="L145" s="42"/>
      <c r="M145" s="43"/>
    </row>
    <row r="146" spans="2:13" ht="121.5" customHeight="1" x14ac:dyDescent="0.2">
      <c r="B146" s="65"/>
      <c r="C146" s="15" t="s">
        <v>285</v>
      </c>
      <c r="D146" s="11" t="s">
        <v>210</v>
      </c>
      <c r="E146" s="11" t="s">
        <v>211</v>
      </c>
      <c r="F146" s="11" t="s">
        <v>207</v>
      </c>
      <c r="G146" s="44" t="s">
        <v>208</v>
      </c>
      <c r="H146" s="44"/>
      <c r="I146" s="44"/>
      <c r="J146" s="44"/>
      <c r="K146" s="44" t="s">
        <v>212</v>
      </c>
      <c r="L146" s="44"/>
      <c r="M146" s="45"/>
    </row>
    <row r="147" spans="2:13" ht="220" customHeight="1" x14ac:dyDescent="0.2">
      <c r="B147" s="78" t="s">
        <v>85</v>
      </c>
      <c r="C147" s="61" t="s">
        <v>286</v>
      </c>
      <c r="D147" s="11" t="s">
        <v>292</v>
      </c>
      <c r="E147" s="11" t="s">
        <v>213</v>
      </c>
      <c r="F147" s="11" t="s">
        <v>214</v>
      </c>
      <c r="G147" s="44" t="s">
        <v>208</v>
      </c>
      <c r="H147" s="44"/>
      <c r="I147" s="44"/>
      <c r="J147" s="44"/>
      <c r="K147" s="44" t="s">
        <v>215</v>
      </c>
      <c r="L147" s="44"/>
      <c r="M147" s="45"/>
    </row>
    <row r="148" spans="2:13" ht="42.5" customHeight="1" x14ac:dyDescent="0.2">
      <c r="B148" s="78"/>
      <c r="C148" s="61"/>
      <c r="D148" s="66" t="s">
        <v>293</v>
      </c>
      <c r="E148" s="66" t="s">
        <v>211</v>
      </c>
      <c r="F148" s="66" t="s">
        <v>214</v>
      </c>
      <c r="G148" s="44"/>
      <c r="H148" s="44"/>
      <c r="I148" s="44"/>
      <c r="J148" s="44"/>
      <c r="K148" s="44"/>
      <c r="L148" s="44"/>
      <c r="M148" s="45"/>
    </row>
    <row r="149" spans="2:13" ht="17" customHeight="1" x14ac:dyDescent="0.2">
      <c r="B149" s="78"/>
      <c r="C149" s="61"/>
      <c r="D149" s="66"/>
      <c r="E149" s="66"/>
      <c r="F149" s="66"/>
      <c r="G149" s="44"/>
      <c r="H149" s="44"/>
      <c r="I149" s="44"/>
      <c r="J149" s="44"/>
      <c r="K149" s="44"/>
      <c r="L149" s="44"/>
      <c r="M149" s="45"/>
    </row>
    <row r="150" spans="2:13" ht="121.5" customHeight="1" x14ac:dyDescent="0.2">
      <c r="B150" s="38" t="s">
        <v>109</v>
      </c>
      <c r="C150" s="15" t="s">
        <v>287</v>
      </c>
      <c r="D150" s="11" t="s">
        <v>294</v>
      </c>
      <c r="E150" s="11" t="s">
        <v>111</v>
      </c>
      <c r="F150" s="8" t="s">
        <v>220</v>
      </c>
      <c r="G150" s="44" t="s">
        <v>216</v>
      </c>
      <c r="H150" s="44"/>
      <c r="I150" s="44"/>
      <c r="J150" s="44"/>
      <c r="K150" s="44" t="s">
        <v>215</v>
      </c>
      <c r="L150" s="44"/>
      <c r="M150" s="45"/>
    </row>
    <row r="151" spans="2:13" ht="160.5" customHeight="1" thickBot="1" x14ac:dyDescent="0.25">
      <c r="B151" s="39"/>
      <c r="C151" s="33" t="s">
        <v>288</v>
      </c>
      <c r="D151" s="33" t="s">
        <v>217</v>
      </c>
      <c r="E151" s="33" t="s">
        <v>213</v>
      </c>
      <c r="F151" s="33" t="s">
        <v>218</v>
      </c>
      <c r="G151" s="67" t="s">
        <v>208</v>
      </c>
      <c r="H151" s="67"/>
      <c r="I151" s="67"/>
      <c r="J151" s="67"/>
      <c r="K151" s="46" t="s">
        <v>219</v>
      </c>
      <c r="L151" s="46"/>
      <c r="M151" s="47"/>
    </row>
  </sheetData>
  <mergeCells count="209">
    <mergeCell ref="B5:M5"/>
    <mergeCell ref="D138:F138"/>
    <mergeCell ref="K144:M144"/>
    <mergeCell ref="G142:J142"/>
    <mergeCell ref="G144:J144"/>
    <mergeCell ref="G122:J122"/>
    <mergeCell ref="K122:M122"/>
    <mergeCell ref="D65:F65"/>
    <mergeCell ref="G65:M65"/>
    <mergeCell ref="K67:M67"/>
    <mergeCell ref="K118:M118"/>
    <mergeCell ref="K101:M105"/>
    <mergeCell ref="K100:M100"/>
    <mergeCell ref="F101:F105"/>
    <mergeCell ref="G123:J123"/>
    <mergeCell ref="K123:M123"/>
    <mergeCell ref="D111:M111"/>
    <mergeCell ref="G98:J98"/>
    <mergeCell ref="K98:M98"/>
    <mergeCell ref="G94:J94"/>
    <mergeCell ref="G119:J119"/>
    <mergeCell ref="K93:M93"/>
    <mergeCell ref="K94:M94"/>
    <mergeCell ref="G145:J145"/>
    <mergeCell ref="G121:J121"/>
    <mergeCell ref="K117:M117"/>
    <mergeCell ref="G101:J105"/>
    <mergeCell ref="G126:J126"/>
    <mergeCell ref="K126:M126"/>
    <mergeCell ref="K127:M127"/>
    <mergeCell ref="G120:J120"/>
    <mergeCell ref="K119:M120"/>
    <mergeCell ref="K121:M121"/>
    <mergeCell ref="K125:M125"/>
    <mergeCell ref="K124:M124"/>
    <mergeCell ref="C30:G30"/>
    <mergeCell ref="C31:G31"/>
    <mergeCell ref="C21:G21"/>
    <mergeCell ref="K70:M70"/>
    <mergeCell ref="C32:G32"/>
    <mergeCell ref="C33:G33"/>
    <mergeCell ref="C34:G34"/>
    <mergeCell ref="C35:G35"/>
    <mergeCell ref="G80:J80"/>
    <mergeCell ref="K79:M79"/>
    <mergeCell ref="K74:M74"/>
    <mergeCell ref="K72:M72"/>
    <mergeCell ref="K80:M80"/>
    <mergeCell ref="K77:M77"/>
    <mergeCell ref="G75:J75"/>
    <mergeCell ref="K75:M75"/>
    <mergeCell ref="G68:J68"/>
    <mergeCell ref="B84:C84"/>
    <mergeCell ref="D84:M84"/>
    <mergeCell ref="B78:B80"/>
    <mergeCell ref="K92:M92"/>
    <mergeCell ref="G78:J78"/>
    <mergeCell ref="K78:M78"/>
    <mergeCell ref="C36:G36"/>
    <mergeCell ref="C37:G37"/>
    <mergeCell ref="C38:G38"/>
    <mergeCell ref="C45:G45"/>
    <mergeCell ref="G92:J92"/>
    <mergeCell ref="B72:B77"/>
    <mergeCell ref="B68:B71"/>
    <mergeCell ref="D90:F90"/>
    <mergeCell ref="G90:M90"/>
    <mergeCell ref="D85:M85"/>
    <mergeCell ref="B82:M82"/>
    <mergeCell ref="B90:B91"/>
    <mergeCell ref="C90:C91"/>
    <mergeCell ref="G91:J91"/>
    <mergeCell ref="B119:B121"/>
    <mergeCell ref="C42:G42"/>
    <mergeCell ref="B19:B44"/>
    <mergeCell ref="C22:G22"/>
    <mergeCell ref="C23:G23"/>
    <mergeCell ref="C19:G19"/>
    <mergeCell ref="C20:G20"/>
    <mergeCell ref="C25:G25"/>
    <mergeCell ref="C26:G26"/>
    <mergeCell ref="B59:C59"/>
    <mergeCell ref="C39:G39"/>
    <mergeCell ref="C24:G24"/>
    <mergeCell ref="C43:G43"/>
    <mergeCell ref="C44:G44"/>
    <mergeCell ref="B55:M55"/>
    <mergeCell ref="D59:M59"/>
    <mergeCell ref="K45:M45"/>
    <mergeCell ref="C40:G40"/>
    <mergeCell ref="C41:G41"/>
    <mergeCell ref="C65:C66"/>
    <mergeCell ref="C74:C75"/>
    <mergeCell ref="G70:J70"/>
    <mergeCell ref="B85:C85"/>
    <mergeCell ref="B86:C86"/>
    <mergeCell ref="K73:M73"/>
    <mergeCell ref="G66:J66"/>
    <mergeCell ref="G67:J67"/>
    <mergeCell ref="K66:M66"/>
    <mergeCell ref="G69:J69"/>
    <mergeCell ref="K71:M71"/>
    <mergeCell ref="G73:J73"/>
    <mergeCell ref="D109:M109"/>
    <mergeCell ref="G95:J95"/>
    <mergeCell ref="G71:J71"/>
    <mergeCell ref="K68:M68"/>
    <mergeCell ref="K69:M69"/>
    <mergeCell ref="G76:J76"/>
    <mergeCell ref="G79:J79"/>
    <mergeCell ref="G77:J77"/>
    <mergeCell ref="K76:M76"/>
    <mergeCell ref="G74:J74"/>
    <mergeCell ref="G72:J72"/>
    <mergeCell ref="G96:J97"/>
    <mergeCell ref="K99:M99"/>
    <mergeCell ref="K97:M97"/>
    <mergeCell ref="K91:M91"/>
    <mergeCell ref="D86:M86"/>
    <mergeCell ref="G100:J100"/>
    <mergeCell ref="B65:B66"/>
    <mergeCell ref="B3:M3"/>
    <mergeCell ref="B4:M4"/>
    <mergeCell ref="H16:J17"/>
    <mergeCell ref="K16:M17"/>
    <mergeCell ref="B9:C9"/>
    <mergeCell ref="D9:M9"/>
    <mergeCell ref="B10:C10"/>
    <mergeCell ref="D10:M10"/>
    <mergeCell ref="B11:C11"/>
    <mergeCell ref="D11:M11"/>
    <mergeCell ref="C15:G17"/>
    <mergeCell ref="H15:M15"/>
    <mergeCell ref="B15:B17"/>
    <mergeCell ref="B50:M51"/>
    <mergeCell ref="H45:J45"/>
    <mergeCell ref="B61:C61"/>
    <mergeCell ref="B60:C60"/>
    <mergeCell ref="D60:M60"/>
    <mergeCell ref="D61:M61"/>
    <mergeCell ref="C27:G27"/>
    <mergeCell ref="C28:G28"/>
    <mergeCell ref="C29:G29"/>
    <mergeCell ref="B111:C111"/>
    <mergeCell ref="B93:B95"/>
    <mergeCell ref="B96:B99"/>
    <mergeCell ref="B101:B105"/>
    <mergeCell ref="B116:B117"/>
    <mergeCell ref="C116:C117"/>
    <mergeCell ref="B109:C109"/>
    <mergeCell ref="K95:M95"/>
    <mergeCell ref="B110:C110"/>
    <mergeCell ref="D110:M110"/>
    <mergeCell ref="D116:F116"/>
    <mergeCell ref="C96:C99"/>
    <mergeCell ref="G116:M116"/>
    <mergeCell ref="C101:C105"/>
    <mergeCell ref="G117:J117"/>
    <mergeCell ref="G93:J93"/>
    <mergeCell ref="K96:M96"/>
    <mergeCell ref="G99:J99"/>
    <mergeCell ref="G124:J124"/>
    <mergeCell ref="G127:J127"/>
    <mergeCell ref="B122:B125"/>
    <mergeCell ref="D148:D149"/>
    <mergeCell ref="E148:E149"/>
    <mergeCell ref="F148:F149"/>
    <mergeCell ref="G147:J149"/>
    <mergeCell ref="E101:E105"/>
    <mergeCell ref="K140:M140"/>
    <mergeCell ref="K147:M149"/>
    <mergeCell ref="B129:M129"/>
    <mergeCell ref="D131:M131"/>
    <mergeCell ref="D132:M132"/>
    <mergeCell ref="G138:M138"/>
    <mergeCell ref="G139:J139"/>
    <mergeCell ref="K139:M139"/>
    <mergeCell ref="G140:J140"/>
    <mergeCell ref="B147:B149"/>
    <mergeCell ref="G118:J118"/>
    <mergeCell ref="G125:J125"/>
    <mergeCell ref="K141:M141"/>
    <mergeCell ref="K142:M142"/>
    <mergeCell ref="K143:M143"/>
    <mergeCell ref="C124:C125"/>
    <mergeCell ref="B126:B128"/>
    <mergeCell ref="C126:C128"/>
    <mergeCell ref="K145:M145"/>
    <mergeCell ref="K146:M146"/>
    <mergeCell ref="K151:M151"/>
    <mergeCell ref="K150:M150"/>
    <mergeCell ref="B133:C133"/>
    <mergeCell ref="D133:M133"/>
    <mergeCell ref="B134:C134"/>
    <mergeCell ref="D134:M134"/>
    <mergeCell ref="B131:C131"/>
    <mergeCell ref="B132:C132"/>
    <mergeCell ref="B138:B139"/>
    <mergeCell ref="C138:C139"/>
    <mergeCell ref="K128:M128"/>
    <mergeCell ref="G128:J128"/>
    <mergeCell ref="B150:B151"/>
    <mergeCell ref="C147:C149"/>
    <mergeCell ref="B141:B146"/>
    <mergeCell ref="G150:J150"/>
    <mergeCell ref="G151:J151"/>
    <mergeCell ref="G146:J146"/>
    <mergeCell ref="G141:J141"/>
    <mergeCell ref="G143:J143"/>
  </mergeCells>
  <pageMargins left="0.7" right="0.7" top="0.75" bottom="0.75" header="0.3" footer="0.3"/>
  <pageSetup scale="48" orientation="landscape" r:id="rId1"/>
  <headerFooter>
    <oddHeader xml:space="preserve">&amp;C&amp;"System Font,Regular"&amp;10&amp;K000000
</oddHeader>
    <oddFooter>&amp;C&amp;"System Font,Regular"&amp;10&amp;K000000&amp;P</oddFooter>
  </headerFooter>
  <rowBreaks count="4" manualBreakCount="4">
    <brk id="56" max="16383" man="1"/>
    <brk id="81" max="16383" man="1"/>
    <brk id="106" max="16383" man="1"/>
    <brk id="128"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B2:J89"/>
  <sheetViews>
    <sheetView showGridLines="0" workbookViewId="0">
      <selection activeCell="A14" sqref="A1:XFD1048576"/>
    </sheetView>
  </sheetViews>
  <sheetFormatPr baseColWidth="10" defaultColWidth="10.6640625" defaultRowHeight="16" x14ac:dyDescent="0.2"/>
  <cols>
    <col min="2" max="2" width="57.83203125" customWidth="1"/>
    <col min="3" max="3" width="26.1640625" customWidth="1"/>
    <col min="4" max="4" width="14.83203125" customWidth="1"/>
    <col min="5" max="5" width="15" customWidth="1"/>
    <col min="6" max="6" width="13" customWidth="1"/>
    <col min="7" max="7" width="14.83203125" customWidth="1"/>
    <col min="8" max="8" width="21.83203125" customWidth="1"/>
    <col min="9" max="10" width="26.5" style="186" customWidth="1"/>
  </cols>
  <sheetData>
    <row r="2" spans="2:10" ht="37" x14ac:dyDescent="0.45">
      <c r="B2" s="175" t="s">
        <v>295</v>
      </c>
      <c r="C2" s="187"/>
    </row>
    <row r="3" spans="2:10" ht="26" x14ac:dyDescent="0.3">
      <c r="B3" s="176" t="s">
        <v>296</v>
      </c>
      <c r="C3" s="177"/>
    </row>
    <row r="5" spans="2:10" ht="21" x14ac:dyDescent="0.25">
      <c r="B5" s="12" t="s">
        <v>297</v>
      </c>
      <c r="C5" s="188"/>
    </row>
    <row r="7" spans="2:10" ht="17" thickBot="1" x14ac:dyDescent="0.25"/>
    <row r="8" spans="2:10" ht="16" customHeight="1" x14ac:dyDescent="0.2">
      <c r="B8" s="189" t="s">
        <v>298</v>
      </c>
      <c r="C8" s="190" t="s">
        <v>370</v>
      </c>
      <c r="D8" s="191" t="s">
        <v>299</v>
      </c>
      <c r="E8" s="192"/>
      <c r="F8" s="192"/>
      <c r="G8" s="193"/>
      <c r="H8" s="194" t="s">
        <v>371</v>
      </c>
      <c r="I8" s="195" t="s">
        <v>372</v>
      </c>
      <c r="J8" s="196" t="s">
        <v>373</v>
      </c>
    </row>
    <row r="9" spans="2:10" s="197" customFormat="1" x14ac:dyDescent="0.2">
      <c r="B9" s="198"/>
      <c r="C9" s="199"/>
      <c r="D9" s="200" t="s">
        <v>300</v>
      </c>
      <c r="E9" s="201" t="s">
        <v>301</v>
      </c>
      <c r="F9" s="201" t="s">
        <v>302</v>
      </c>
      <c r="G9" s="202" t="s">
        <v>303</v>
      </c>
      <c r="H9" s="203" t="s">
        <v>374</v>
      </c>
      <c r="I9" s="204" t="s">
        <v>375</v>
      </c>
      <c r="J9" s="205" t="s">
        <v>375</v>
      </c>
    </row>
    <row r="10" spans="2:10" ht="17" thickBot="1" x14ac:dyDescent="0.25">
      <c r="B10" s="206" t="s">
        <v>304</v>
      </c>
      <c r="C10" s="207"/>
      <c r="D10" s="208"/>
      <c r="E10" s="209"/>
      <c r="F10" s="209"/>
      <c r="G10" s="210"/>
      <c r="H10" s="211"/>
      <c r="I10" s="212"/>
      <c r="J10" s="213"/>
    </row>
    <row r="11" spans="2:10" ht="17" x14ac:dyDescent="0.2">
      <c r="B11" s="179" t="s">
        <v>305</v>
      </c>
      <c r="C11" s="214" t="s">
        <v>70</v>
      </c>
      <c r="D11" s="215"/>
      <c r="E11" s="216"/>
      <c r="F11" s="217">
        <f>11042179.2411326*5%</f>
        <v>552108.96205663006</v>
      </c>
      <c r="G11" s="217"/>
      <c r="H11" s="182">
        <f>1.3*(F11/5)</f>
        <v>143548.33013472383</v>
      </c>
      <c r="I11" s="218">
        <f t="shared" ref="I11:I32" si="0">H11*5</f>
        <v>717741.65067361912</v>
      </c>
      <c r="J11" s="219">
        <f>I11/5</f>
        <v>143548.33013472383</v>
      </c>
    </row>
    <row r="12" spans="2:10" ht="34" x14ac:dyDescent="0.2">
      <c r="B12" s="179" t="s">
        <v>306</v>
      </c>
      <c r="C12" s="214" t="s">
        <v>70</v>
      </c>
      <c r="D12" s="215"/>
      <c r="E12" s="216"/>
      <c r="F12" s="217"/>
      <c r="G12" s="217">
        <f>ROUND(19747370.9003704*2%,0)</f>
        <v>394947</v>
      </c>
      <c r="H12" s="182">
        <f>1.3*(G12/5)</f>
        <v>102686.22</v>
      </c>
      <c r="I12" s="218">
        <f t="shared" si="0"/>
        <v>513431.1</v>
      </c>
      <c r="J12" s="220">
        <f t="shared" ref="J12:J74" si="1">I12/5</f>
        <v>102686.22</v>
      </c>
    </row>
    <row r="13" spans="2:10" ht="17" x14ac:dyDescent="0.2">
      <c r="B13" s="179" t="s">
        <v>307</v>
      </c>
      <c r="C13" s="214" t="s">
        <v>70</v>
      </c>
      <c r="D13" s="214"/>
      <c r="E13" s="217"/>
      <c r="F13" s="217">
        <f>11042179.2411326*5%</f>
        <v>552108.96205663006</v>
      </c>
      <c r="G13" s="217"/>
      <c r="H13" s="182">
        <f>1.3*(F13/5)</f>
        <v>143548.33013472383</v>
      </c>
      <c r="I13" s="218">
        <f t="shared" si="0"/>
        <v>717741.65067361912</v>
      </c>
      <c r="J13" s="220">
        <f t="shared" si="1"/>
        <v>143548.33013472383</v>
      </c>
    </row>
    <row r="14" spans="2:10" ht="34" x14ac:dyDescent="0.2">
      <c r="B14" s="179" t="s">
        <v>308</v>
      </c>
      <c r="C14" s="214" t="s">
        <v>70</v>
      </c>
      <c r="D14" s="214"/>
      <c r="E14" s="217"/>
      <c r="F14" s="217"/>
      <c r="G14" s="217">
        <f>ROUND(19747370.9003704*2%,0)</f>
        <v>394947</v>
      </c>
      <c r="H14" s="182">
        <f>1.3*(G14/5)</f>
        <v>102686.22</v>
      </c>
      <c r="I14" s="218">
        <f t="shared" si="0"/>
        <v>513431.1</v>
      </c>
      <c r="J14" s="220">
        <f t="shared" si="1"/>
        <v>102686.22</v>
      </c>
    </row>
    <row r="15" spans="2:10" ht="34" x14ac:dyDescent="0.2">
      <c r="B15" s="179" t="s">
        <v>309</v>
      </c>
      <c r="C15" s="214" t="s">
        <v>70</v>
      </c>
      <c r="D15" s="215"/>
      <c r="E15" s="216"/>
      <c r="F15" s="217">
        <f>5521089.6205663*5%</f>
        <v>276054.48102831503</v>
      </c>
      <c r="G15" s="217"/>
      <c r="H15" s="182">
        <f>15*(F15/5)</f>
        <v>828163.44308494509</v>
      </c>
      <c r="I15" s="218">
        <f t="shared" si="0"/>
        <v>4140817.2154247253</v>
      </c>
      <c r="J15" s="220">
        <f t="shared" si="1"/>
        <v>828163.44308494509</v>
      </c>
    </row>
    <row r="16" spans="2:10" ht="68" x14ac:dyDescent="0.2">
      <c r="B16" s="179" t="s">
        <v>310</v>
      </c>
      <c r="C16" s="221" t="s">
        <v>70</v>
      </c>
      <c r="D16" s="222"/>
      <c r="E16" s="223"/>
      <c r="F16" s="223"/>
      <c r="G16" s="224">
        <f>231*4*5</f>
        <v>4620</v>
      </c>
      <c r="H16" s="182">
        <f>100*(G16/5)</f>
        <v>92400</v>
      </c>
      <c r="I16" s="218">
        <f t="shared" si="0"/>
        <v>462000</v>
      </c>
      <c r="J16" s="220">
        <f t="shared" si="1"/>
        <v>92400</v>
      </c>
    </row>
    <row r="17" spans="2:10" ht="34" x14ac:dyDescent="0.2">
      <c r="B17" s="179" t="s">
        <v>311</v>
      </c>
      <c r="C17" s="221" t="s">
        <v>70</v>
      </c>
      <c r="D17" s="214"/>
      <c r="E17" s="217"/>
      <c r="F17" s="217"/>
      <c r="G17" s="225">
        <f>231*4*5</f>
        <v>4620</v>
      </c>
      <c r="H17" s="182">
        <f>250*(G17/5)</f>
        <v>231000</v>
      </c>
      <c r="I17" s="218">
        <f t="shared" si="0"/>
        <v>1155000</v>
      </c>
      <c r="J17" s="220">
        <f t="shared" si="1"/>
        <v>231000</v>
      </c>
    </row>
    <row r="18" spans="2:10" ht="34" x14ac:dyDescent="0.2">
      <c r="B18" s="179" t="s">
        <v>312</v>
      </c>
      <c r="C18" s="221" t="s">
        <v>70</v>
      </c>
      <c r="D18" s="214"/>
      <c r="E18" s="217"/>
      <c r="F18" s="217"/>
      <c r="G18" s="217">
        <v>2</v>
      </c>
      <c r="H18" s="182">
        <f>50000*(G18/2)</f>
        <v>50000</v>
      </c>
      <c r="I18" s="218">
        <f t="shared" si="0"/>
        <v>250000</v>
      </c>
      <c r="J18" s="220">
        <f t="shared" si="1"/>
        <v>50000</v>
      </c>
    </row>
    <row r="19" spans="2:10" ht="17" x14ac:dyDescent="0.2">
      <c r="B19" s="179" t="s">
        <v>313</v>
      </c>
      <c r="C19" s="221" t="s">
        <v>70</v>
      </c>
      <c r="D19" s="214"/>
      <c r="E19" s="217"/>
      <c r="F19" s="217"/>
      <c r="G19" s="217">
        <v>4158</v>
      </c>
      <c r="H19" s="182">
        <f>50*(G19/2)</f>
        <v>103950</v>
      </c>
      <c r="I19" s="218">
        <f t="shared" si="0"/>
        <v>519750</v>
      </c>
      <c r="J19" s="220">
        <f t="shared" si="1"/>
        <v>103950</v>
      </c>
    </row>
    <row r="20" spans="2:10" ht="34" x14ac:dyDescent="0.2">
      <c r="B20" s="179" t="s">
        <v>314</v>
      </c>
      <c r="C20" s="214" t="s">
        <v>70</v>
      </c>
      <c r="D20" s="214"/>
      <c r="E20" s="217"/>
      <c r="F20" s="217"/>
      <c r="G20" s="217">
        <f>231*2*5</f>
        <v>2310</v>
      </c>
      <c r="H20" s="182">
        <f>200*(G20/5)</f>
        <v>92400</v>
      </c>
      <c r="I20" s="218">
        <f t="shared" si="0"/>
        <v>462000</v>
      </c>
      <c r="J20" s="220">
        <f t="shared" si="1"/>
        <v>92400</v>
      </c>
    </row>
    <row r="21" spans="2:10" ht="51" x14ac:dyDescent="0.2">
      <c r="B21" s="179" t="s">
        <v>315</v>
      </c>
      <c r="C21" s="214" t="s">
        <v>70</v>
      </c>
      <c r="D21" s="214"/>
      <c r="E21" s="217"/>
      <c r="F21" s="217"/>
      <c r="G21" s="217">
        <f>4*5</f>
        <v>20</v>
      </c>
      <c r="H21" s="182">
        <f>1000*(G21/5)</f>
        <v>4000</v>
      </c>
      <c r="I21" s="218">
        <f t="shared" si="0"/>
        <v>20000</v>
      </c>
      <c r="J21" s="220">
        <f t="shared" si="1"/>
        <v>4000</v>
      </c>
    </row>
    <row r="22" spans="2:10" ht="34" x14ac:dyDescent="0.2">
      <c r="B22" s="179" t="s">
        <v>316</v>
      </c>
      <c r="C22" s="214" t="s">
        <v>317</v>
      </c>
      <c r="D22" s="214"/>
      <c r="E22" s="217"/>
      <c r="F22" s="217"/>
      <c r="G22" s="217">
        <f>ROUND(19747370.9003704*1%*5,0)</f>
        <v>987369</v>
      </c>
      <c r="H22" s="182">
        <f>20*(G22/5)</f>
        <v>3949476</v>
      </c>
      <c r="I22" s="218">
        <f t="shared" si="0"/>
        <v>19747380</v>
      </c>
      <c r="J22" s="220">
        <f t="shared" si="1"/>
        <v>3949476</v>
      </c>
    </row>
    <row r="23" spans="2:10" ht="34" x14ac:dyDescent="0.2">
      <c r="B23" s="179" t="s">
        <v>99</v>
      </c>
      <c r="C23" s="214" t="s">
        <v>317</v>
      </c>
      <c r="D23" s="214"/>
      <c r="E23" s="217"/>
      <c r="F23" s="217"/>
      <c r="G23" s="217">
        <f>11042179.2411326*0.01%*5</f>
        <v>5521.0896205663003</v>
      </c>
      <c r="H23" s="182">
        <f>500*(G23/5)</f>
        <v>552108.96205663006</v>
      </c>
      <c r="I23" s="218">
        <f t="shared" si="0"/>
        <v>2760544.8102831505</v>
      </c>
      <c r="J23" s="220">
        <f t="shared" si="1"/>
        <v>552108.96205663006</v>
      </c>
    </row>
    <row r="24" spans="2:10" ht="17" x14ac:dyDescent="0.2">
      <c r="B24" s="179" t="s">
        <v>318</v>
      </c>
      <c r="C24" s="214" t="s">
        <v>317</v>
      </c>
      <c r="D24" s="214"/>
      <c r="E24" s="217"/>
      <c r="F24" s="217"/>
      <c r="G24" s="217">
        <v>10</v>
      </c>
      <c r="H24" s="182">
        <f>50000*(G24/5)</f>
        <v>100000</v>
      </c>
      <c r="I24" s="218">
        <f t="shared" si="0"/>
        <v>500000</v>
      </c>
      <c r="J24" s="220">
        <f t="shared" si="1"/>
        <v>100000</v>
      </c>
    </row>
    <row r="25" spans="2:10" ht="34" x14ac:dyDescent="0.2">
      <c r="B25" s="179" t="s">
        <v>319</v>
      </c>
      <c r="C25" s="214" t="s">
        <v>317</v>
      </c>
      <c r="D25" s="214"/>
      <c r="E25" s="217"/>
      <c r="F25" s="217"/>
      <c r="G25" s="217">
        <v>10</v>
      </c>
      <c r="H25" s="182">
        <f>5000*(G25/5)</f>
        <v>10000</v>
      </c>
      <c r="I25" s="218">
        <f t="shared" si="0"/>
        <v>50000</v>
      </c>
      <c r="J25" s="220">
        <f t="shared" si="1"/>
        <v>10000</v>
      </c>
    </row>
    <row r="26" spans="2:10" ht="51" x14ac:dyDescent="0.2">
      <c r="B26" s="179" t="s">
        <v>320</v>
      </c>
      <c r="C26" s="214" t="s">
        <v>317</v>
      </c>
      <c r="D26" s="214"/>
      <c r="E26" s="217"/>
      <c r="F26" s="217"/>
      <c r="G26" s="217">
        <f>100*5</f>
        <v>500</v>
      </c>
      <c r="H26" s="182">
        <f>1000*(G26/5)</f>
        <v>100000</v>
      </c>
      <c r="I26" s="218">
        <f t="shared" si="0"/>
        <v>500000</v>
      </c>
      <c r="J26" s="220">
        <f t="shared" si="1"/>
        <v>100000</v>
      </c>
    </row>
    <row r="27" spans="2:10" ht="17" x14ac:dyDescent="0.2">
      <c r="B27" s="179" t="s">
        <v>321</v>
      </c>
      <c r="C27" s="214" t="s">
        <v>317</v>
      </c>
      <c r="D27" s="214"/>
      <c r="E27" s="217"/>
      <c r="F27" s="217"/>
      <c r="G27" s="217">
        <f>ROUND(10214351.581706*1%*5,0)</f>
        <v>510718</v>
      </c>
      <c r="H27" s="182">
        <f>9*(G27/5)</f>
        <v>919292.4</v>
      </c>
      <c r="I27" s="218">
        <f t="shared" si="0"/>
        <v>4596462</v>
      </c>
      <c r="J27" s="220">
        <f t="shared" si="1"/>
        <v>919292.4</v>
      </c>
    </row>
    <row r="28" spans="2:10" ht="51" x14ac:dyDescent="0.2">
      <c r="B28" s="179" t="s">
        <v>322</v>
      </c>
      <c r="C28" s="214" t="s">
        <v>317</v>
      </c>
      <c r="D28" s="214"/>
      <c r="E28" s="217"/>
      <c r="F28" s="217"/>
      <c r="G28" s="217">
        <f>10214358.0619766*1%*5</f>
        <v>510717.90309883008</v>
      </c>
      <c r="H28" s="182">
        <f>20*(G28/5)</f>
        <v>2042871.6123953203</v>
      </c>
      <c r="I28" s="218">
        <f t="shared" si="0"/>
        <v>10214358.061976602</v>
      </c>
      <c r="J28" s="220">
        <f t="shared" si="1"/>
        <v>2042871.6123953206</v>
      </c>
    </row>
    <row r="29" spans="2:10" ht="34" x14ac:dyDescent="0.2">
      <c r="B29" s="179" t="s">
        <v>323</v>
      </c>
      <c r="C29" s="226" t="s">
        <v>324</v>
      </c>
      <c r="D29" s="214"/>
      <c r="E29" s="217"/>
      <c r="F29" s="217"/>
      <c r="G29" s="217">
        <f>231*5</f>
        <v>1155</v>
      </c>
      <c r="H29" s="182">
        <f>500*(G29/5)</f>
        <v>115500</v>
      </c>
      <c r="I29" s="218">
        <f t="shared" si="0"/>
        <v>577500</v>
      </c>
      <c r="J29" s="220">
        <f t="shared" si="1"/>
        <v>115500</v>
      </c>
    </row>
    <row r="30" spans="2:10" ht="34" x14ac:dyDescent="0.2">
      <c r="B30" s="179" t="s">
        <v>325</v>
      </c>
      <c r="C30" s="226" t="s">
        <v>324</v>
      </c>
      <c r="D30" s="214"/>
      <c r="E30" s="217"/>
      <c r="F30" s="217"/>
      <c r="G30" s="217">
        <f>231*5</f>
        <v>1155</v>
      </c>
      <c r="H30" s="182">
        <f>500*(G30/5)</f>
        <v>115500</v>
      </c>
      <c r="I30" s="218">
        <f t="shared" si="0"/>
        <v>577500</v>
      </c>
      <c r="J30" s="220">
        <f t="shared" si="1"/>
        <v>115500</v>
      </c>
    </row>
    <row r="31" spans="2:10" ht="51" x14ac:dyDescent="0.2">
      <c r="B31" s="179" t="s">
        <v>326</v>
      </c>
      <c r="C31" s="226" t="s">
        <v>324</v>
      </c>
      <c r="D31" s="214"/>
      <c r="E31" s="217"/>
      <c r="F31" s="217"/>
      <c r="G31" s="217">
        <v>80</v>
      </c>
      <c r="H31" s="182">
        <f>5000*(G31/5)</f>
        <v>80000</v>
      </c>
      <c r="I31" s="218">
        <f t="shared" si="0"/>
        <v>400000</v>
      </c>
      <c r="J31" s="220">
        <f t="shared" si="1"/>
        <v>80000</v>
      </c>
    </row>
    <row r="32" spans="2:10" ht="52" thickBot="1" x14ac:dyDescent="0.25">
      <c r="B32" s="179" t="s">
        <v>327</v>
      </c>
      <c r="C32" s="226" t="s">
        <v>324</v>
      </c>
      <c r="D32" s="214"/>
      <c r="E32" s="217"/>
      <c r="F32" s="217"/>
      <c r="G32" s="217">
        <f>ROUND(51071.8875139425,0)</f>
        <v>51072</v>
      </c>
      <c r="H32" s="182">
        <f>20*(G32/5)</f>
        <v>204288</v>
      </c>
      <c r="I32" s="218">
        <f t="shared" si="0"/>
        <v>1021440</v>
      </c>
      <c r="J32" s="227">
        <f t="shared" si="1"/>
        <v>204288</v>
      </c>
    </row>
    <row r="33" spans="2:10" ht="17" thickBot="1" x14ac:dyDescent="0.25">
      <c r="B33" s="228" t="s">
        <v>328</v>
      </c>
      <c r="C33" s="229"/>
      <c r="D33" s="230"/>
      <c r="E33" s="231"/>
      <c r="F33" s="231"/>
      <c r="G33" s="232"/>
      <c r="H33" s="233">
        <f>SUM(H11:H32)</f>
        <v>10083419.517806344</v>
      </c>
      <c r="I33" s="234">
        <f>SUM(I11:I32)</f>
        <v>50417097.589031719</v>
      </c>
      <c r="J33" s="235">
        <f t="shared" si="1"/>
        <v>10083419.517806344</v>
      </c>
    </row>
    <row r="34" spans="2:10" ht="17" thickBot="1" x14ac:dyDescent="0.25">
      <c r="B34" s="236" t="s">
        <v>329</v>
      </c>
      <c r="C34" s="237"/>
      <c r="D34" s="238"/>
      <c r="E34" s="239"/>
      <c r="F34" s="239"/>
      <c r="G34" s="240"/>
      <c r="H34" s="241"/>
      <c r="I34" s="242"/>
      <c r="J34" s="243"/>
    </row>
    <row r="35" spans="2:10" ht="51" x14ac:dyDescent="0.2">
      <c r="B35" s="179" t="s">
        <v>330</v>
      </c>
      <c r="C35" s="214" t="s">
        <v>70</v>
      </c>
      <c r="D35" s="214"/>
      <c r="E35" s="217"/>
      <c r="F35" s="217"/>
      <c r="G35" s="217">
        <f>231*4*5</f>
        <v>4620</v>
      </c>
      <c r="H35" s="182">
        <f>100*(G35/5)</f>
        <v>92400</v>
      </c>
      <c r="I35" s="244">
        <f t="shared" ref="I35:I53" si="2">H35*5</f>
        <v>462000</v>
      </c>
      <c r="J35" s="219">
        <f t="shared" si="1"/>
        <v>92400</v>
      </c>
    </row>
    <row r="36" spans="2:10" ht="51" x14ac:dyDescent="0.2">
      <c r="B36" s="178" t="s">
        <v>331</v>
      </c>
      <c r="C36" s="214" t="s">
        <v>70</v>
      </c>
      <c r="D36" s="214"/>
      <c r="E36" s="217"/>
      <c r="F36" s="217"/>
      <c r="G36" s="217">
        <f>231*4*5</f>
        <v>4620</v>
      </c>
      <c r="H36" s="182">
        <f>100*(G36/5)</f>
        <v>92400</v>
      </c>
      <c r="I36" s="244">
        <f t="shared" si="2"/>
        <v>462000</v>
      </c>
      <c r="J36" s="220">
        <f t="shared" si="1"/>
        <v>92400</v>
      </c>
    </row>
    <row r="37" spans="2:10" ht="68" x14ac:dyDescent="0.2">
      <c r="B37" s="178" t="s">
        <v>332</v>
      </c>
      <c r="C37" s="214" t="s">
        <v>70</v>
      </c>
      <c r="D37" s="214"/>
      <c r="E37" s="217"/>
      <c r="F37" s="217"/>
      <c r="G37" s="217">
        <f>231*4*5</f>
        <v>4620</v>
      </c>
      <c r="H37" s="182">
        <f>100*(G37/5)</f>
        <v>92400</v>
      </c>
      <c r="I37" s="244">
        <f t="shared" si="2"/>
        <v>462000</v>
      </c>
      <c r="J37" s="220">
        <f t="shared" si="1"/>
        <v>92400</v>
      </c>
    </row>
    <row r="38" spans="2:10" ht="34" x14ac:dyDescent="0.2">
      <c r="B38" s="178" t="s">
        <v>333</v>
      </c>
      <c r="C38" s="214" t="s">
        <v>70</v>
      </c>
      <c r="D38" s="214"/>
      <c r="E38" s="245">
        <f>2320998.08749509*1%*5</f>
        <v>116049.90437475449</v>
      </c>
      <c r="F38" s="217"/>
      <c r="G38" s="245"/>
      <c r="H38" s="182">
        <f>10*(E38/5)</f>
        <v>232099.80874950899</v>
      </c>
      <c r="I38" s="218">
        <f t="shared" si="2"/>
        <v>1160499.043747545</v>
      </c>
      <c r="J38" s="220">
        <f t="shared" si="1"/>
        <v>232099.80874950899</v>
      </c>
    </row>
    <row r="39" spans="2:10" ht="34" x14ac:dyDescent="0.2">
      <c r="B39" s="178" t="s">
        <v>334</v>
      </c>
      <c r="C39" s="214" t="s">
        <v>70</v>
      </c>
      <c r="D39" s="214"/>
      <c r="E39" s="217"/>
      <c r="F39" s="217"/>
      <c r="G39" s="245">
        <f>4*5</f>
        <v>20</v>
      </c>
      <c r="H39" s="182">
        <f>10000*(G39/5)</f>
        <v>40000</v>
      </c>
      <c r="I39" s="218">
        <f t="shared" si="2"/>
        <v>200000</v>
      </c>
      <c r="J39" s="220">
        <f t="shared" si="1"/>
        <v>40000</v>
      </c>
    </row>
    <row r="40" spans="2:10" ht="34" x14ac:dyDescent="0.2">
      <c r="B40" s="178" t="s">
        <v>335</v>
      </c>
      <c r="C40" s="214" t="s">
        <v>317</v>
      </c>
      <c r="D40" s="246"/>
      <c r="E40" s="245"/>
      <c r="F40" s="245"/>
      <c r="G40" s="245">
        <f>16*4*5</f>
        <v>320</v>
      </c>
      <c r="H40" s="182">
        <f>1000*(G40/5)</f>
        <v>64000</v>
      </c>
      <c r="I40" s="218">
        <f t="shared" si="2"/>
        <v>320000</v>
      </c>
      <c r="J40" s="220">
        <f t="shared" si="1"/>
        <v>64000</v>
      </c>
    </row>
    <row r="41" spans="2:10" ht="17" x14ac:dyDescent="0.2">
      <c r="B41" s="178" t="s">
        <v>336</v>
      </c>
      <c r="C41" s="214" t="s">
        <v>317</v>
      </c>
      <c r="D41" s="246"/>
      <c r="E41" s="245"/>
      <c r="F41" s="245"/>
      <c r="G41" s="245">
        <f>16*4*5</f>
        <v>320</v>
      </c>
      <c r="H41" s="182">
        <f>100*(G41/5)</f>
        <v>6400</v>
      </c>
      <c r="I41" s="218">
        <f t="shared" si="2"/>
        <v>32000</v>
      </c>
      <c r="J41" s="220">
        <f t="shared" si="1"/>
        <v>6400</v>
      </c>
    </row>
    <row r="42" spans="2:10" ht="34" x14ac:dyDescent="0.2">
      <c r="B42" s="178" t="s">
        <v>337</v>
      </c>
      <c r="C42" s="214" t="s">
        <v>317</v>
      </c>
      <c r="D42" s="214"/>
      <c r="E42" s="217"/>
      <c r="F42" s="217"/>
      <c r="G42" s="245">
        <f>231*50%*5</f>
        <v>577.5</v>
      </c>
      <c r="H42" s="182">
        <f>1000*(G42/5)</f>
        <v>115500</v>
      </c>
      <c r="I42" s="218">
        <f t="shared" si="2"/>
        <v>577500</v>
      </c>
      <c r="J42" s="220">
        <f t="shared" si="1"/>
        <v>115500</v>
      </c>
    </row>
    <row r="43" spans="2:10" ht="68" x14ac:dyDescent="0.2">
      <c r="B43" s="178" t="s">
        <v>338</v>
      </c>
      <c r="C43" s="214" t="s">
        <v>317</v>
      </c>
      <c r="D43" s="214"/>
      <c r="E43" s="217"/>
      <c r="F43" s="217"/>
      <c r="G43" s="245">
        <f>16*4*5</f>
        <v>320</v>
      </c>
      <c r="H43" s="182">
        <f>5000*(G43/5)</f>
        <v>320000</v>
      </c>
      <c r="I43" s="218">
        <f t="shared" si="2"/>
        <v>1600000</v>
      </c>
      <c r="J43" s="220">
        <f t="shared" si="1"/>
        <v>320000</v>
      </c>
    </row>
    <row r="44" spans="2:10" ht="17" x14ac:dyDescent="0.2">
      <c r="B44" s="178" t="s">
        <v>339</v>
      </c>
      <c r="C44" s="214" t="s">
        <v>317</v>
      </c>
      <c r="D44" s="214"/>
      <c r="E44" s="217"/>
      <c r="F44" s="217"/>
      <c r="G44" s="217">
        <f>4*5</f>
        <v>20</v>
      </c>
      <c r="H44" s="182">
        <f>20000*(G44/5)</f>
        <v>80000</v>
      </c>
      <c r="I44" s="218">
        <f t="shared" si="2"/>
        <v>400000</v>
      </c>
      <c r="J44" s="220">
        <f t="shared" si="1"/>
        <v>80000</v>
      </c>
    </row>
    <row r="45" spans="2:10" ht="34" x14ac:dyDescent="0.2">
      <c r="B45" s="178" t="s">
        <v>340</v>
      </c>
      <c r="C45" s="214" t="s">
        <v>317</v>
      </c>
      <c r="D45" s="214"/>
      <c r="E45" s="217"/>
      <c r="F45" s="217"/>
      <c r="G45" s="217">
        <f>4*5</f>
        <v>20</v>
      </c>
      <c r="H45" s="182">
        <f>10000*(G45/5)</f>
        <v>40000</v>
      </c>
      <c r="I45" s="218">
        <f t="shared" si="2"/>
        <v>200000</v>
      </c>
      <c r="J45" s="220">
        <f t="shared" si="1"/>
        <v>40000</v>
      </c>
    </row>
    <row r="46" spans="2:10" ht="68" x14ac:dyDescent="0.2">
      <c r="B46" s="178" t="s">
        <v>341</v>
      </c>
      <c r="C46" s="214" t="s">
        <v>317</v>
      </c>
      <c r="D46" s="214"/>
      <c r="E46" s="217"/>
      <c r="F46" s="217"/>
      <c r="G46" s="217">
        <f>4*5</f>
        <v>20</v>
      </c>
      <c r="H46" s="182">
        <f>5000*(G46/5)</f>
        <v>20000</v>
      </c>
      <c r="I46" s="218">
        <f t="shared" si="2"/>
        <v>100000</v>
      </c>
      <c r="J46" s="220">
        <f t="shared" si="1"/>
        <v>20000</v>
      </c>
    </row>
    <row r="47" spans="2:10" ht="68" x14ac:dyDescent="0.2">
      <c r="B47" s="178" t="s">
        <v>342</v>
      </c>
      <c r="C47" s="214" t="s">
        <v>317</v>
      </c>
      <c r="D47" s="214"/>
      <c r="E47" s="217"/>
      <c r="F47" s="217"/>
      <c r="G47" s="217">
        <f>231*5</f>
        <v>1155</v>
      </c>
      <c r="H47" s="182">
        <f>500*(G47/5)</f>
        <v>115500</v>
      </c>
      <c r="I47" s="218">
        <f t="shared" si="2"/>
        <v>577500</v>
      </c>
      <c r="J47" s="220">
        <f t="shared" si="1"/>
        <v>115500</v>
      </c>
    </row>
    <row r="48" spans="2:10" ht="34" x14ac:dyDescent="0.2">
      <c r="B48" s="178" t="s">
        <v>343</v>
      </c>
      <c r="C48" s="214" t="s">
        <v>317</v>
      </c>
      <c r="D48" s="214"/>
      <c r="E48" s="217"/>
      <c r="F48" s="217"/>
      <c r="G48" s="217">
        <v>231</v>
      </c>
      <c r="H48" s="182">
        <f>5000*(G48/5)</f>
        <v>231000</v>
      </c>
      <c r="I48" s="218">
        <f t="shared" si="2"/>
        <v>1155000</v>
      </c>
      <c r="J48" s="220">
        <f t="shared" si="1"/>
        <v>231000</v>
      </c>
    </row>
    <row r="49" spans="2:10" ht="34" x14ac:dyDescent="0.2">
      <c r="B49" s="178" t="s">
        <v>141</v>
      </c>
      <c r="C49" s="214" t="s">
        <v>317</v>
      </c>
      <c r="D49" s="214"/>
      <c r="E49" s="217"/>
      <c r="F49" s="217">
        <f>5254078*5%*5</f>
        <v>1313519.5</v>
      </c>
      <c r="G49" s="217">
        <f>425598142.41776*5%*5</f>
        <v>106399535.60444</v>
      </c>
      <c r="H49" s="182">
        <f>3*((G49+F49)/5)</f>
        <v>64627833.062664002</v>
      </c>
      <c r="I49" s="218">
        <f t="shared" si="2"/>
        <v>323139165.31332004</v>
      </c>
      <c r="J49" s="220">
        <f t="shared" si="1"/>
        <v>64627833.06266401</v>
      </c>
    </row>
    <row r="50" spans="2:10" ht="51" x14ac:dyDescent="0.2">
      <c r="B50" s="247" t="s">
        <v>144</v>
      </c>
      <c r="C50" s="214" t="s">
        <v>108</v>
      </c>
      <c r="D50" s="214"/>
      <c r="E50" s="214"/>
      <c r="F50" s="214">
        <f>5254078*5%*5</f>
        <v>1313519.5</v>
      </c>
      <c r="G50" s="248">
        <f>10214377.5027885*5%*5</f>
        <v>2553594.3756971252</v>
      </c>
      <c r="H50" s="249">
        <f>21*((G50+F50)/5)</f>
        <v>16241878.277927926</v>
      </c>
      <c r="I50" s="244">
        <f t="shared" si="2"/>
        <v>81209391.389639631</v>
      </c>
      <c r="J50" s="220">
        <f t="shared" si="1"/>
        <v>16241878.277927926</v>
      </c>
    </row>
    <row r="51" spans="2:10" ht="34" x14ac:dyDescent="0.2">
      <c r="B51" s="250" t="s">
        <v>148</v>
      </c>
      <c r="C51" s="214" t="s">
        <v>108</v>
      </c>
      <c r="D51" s="214"/>
      <c r="E51" s="214"/>
      <c r="F51" s="214">
        <f>5254078*5%*5</f>
        <v>1313519.5</v>
      </c>
      <c r="G51" s="248">
        <f>10214383.9830591*5%*5</f>
        <v>2553595.9957647752</v>
      </c>
      <c r="H51" s="249">
        <f t="shared" ref="H51" si="3">3*((G51+F51)/5)</f>
        <v>2320269.2974588647</v>
      </c>
      <c r="I51" s="244">
        <f t="shared" si="2"/>
        <v>11601346.487294324</v>
      </c>
      <c r="J51" s="220">
        <f t="shared" si="1"/>
        <v>2320269.2974588647</v>
      </c>
    </row>
    <row r="52" spans="2:10" ht="17" x14ac:dyDescent="0.2">
      <c r="B52" s="250" t="s">
        <v>149</v>
      </c>
      <c r="C52" s="214" t="s">
        <v>108</v>
      </c>
      <c r="D52" s="214"/>
      <c r="E52" s="214"/>
      <c r="F52" s="214">
        <f>5254078*5%*5</f>
        <v>1313519.5</v>
      </c>
      <c r="G52" s="214">
        <f>ROUND(10214390.4633297*5%*5,0)</f>
        <v>2553598</v>
      </c>
      <c r="H52" s="249">
        <f>2*((G52+F52)/5)</f>
        <v>1546847</v>
      </c>
      <c r="I52" s="244">
        <f t="shared" si="2"/>
        <v>7734235</v>
      </c>
      <c r="J52" s="220">
        <f t="shared" si="1"/>
        <v>1546847</v>
      </c>
    </row>
    <row r="53" spans="2:10" ht="35" thickBot="1" x14ac:dyDescent="0.25">
      <c r="B53" s="178" t="s">
        <v>150</v>
      </c>
      <c r="C53" s="214" t="s">
        <v>108</v>
      </c>
      <c r="D53" s="214"/>
      <c r="E53" s="217"/>
      <c r="F53" s="217">
        <f>5254078*5%*5</f>
        <v>1313519.5</v>
      </c>
      <c r="G53" s="217">
        <f>10214396.9436003*5%*5</f>
        <v>2553599.2359000752</v>
      </c>
      <c r="H53" s="182">
        <f>2*((G53+F53)/5)</f>
        <v>1546847.4943600302</v>
      </c>
      <c r="I53" s="218">
        <f t="shared" si="2"/>
        <v>7734237.4718001503</v>
      </c>
      <c r="J53" s="227">
        <f t="shared" si="1"/>
        <v>1546847.4943600302</v>
      </c>
    </row>
    <row r="54" spans="2:10" ht="17" thickBot="1" x14ac:dyDescent="0.25">
      <c r="B54" s="228" t="s">
        <v>328</v>
      </c>
      <c r="C54" s="251"/>
      <c r="D54" s="252"/>
      <c r="E54" s="253"/>
      <c r="F54" s="253"/>
      <c r="G54" s="254"/>
      <c r="H54" s="255">
        <f>SUM(H35:H53)</f>
        <v>87825374.941160321</v>
      </c>
      <c r="I54" s="256">
        <f>SUM(I35:I53)</f>
        <v>439126874.70580167</v>
      </c>
      <c r="J54" s="235">
        <f t="shared" si="1"/>
        <v>87825374.941160336</v>
      </c>
    </row>
    <row r="55" spans="2:10" ht="17" thickBot="1" x14ac:dyDescent="0.25">
      <c r="B55" s="236" t="s">
        <v>344</v>
      </c>
      <c r="C55" s="237"/>
      <c r="D55" s="238"/>
      <c r="E55" s="239"/>
      <c r="F55" s="239"/>
      <c r="G55" s="240"/>
      <c r="H55" s="241"/>
      <c r="I55" s="242"/>
      <c r="J55" s="243"/>
    </row>
    <row r="56" spans="2:10" ht="34" x14ac:dyDescent="0.2">
      <c r="B56" s="178" t="s">
        <v>345</v>
      </c>
      <c r="C56" s="180" t="s">
        <v>70</v>
      </c>
      <c r="D56" s="257"/>
      <c r="E56" s="258"/>
      <c r="F56" s="258"/>
      <c r="G56" s="184">
        <f>231*5</f>
        <v>1155</v>
      </c>
      <c r="H56" s="182">
        <f>1000*(G56/5)</f>
        <v>231000</v>
      </c>
      <c r="I56" s="218">
        <f t="shared" ref="I56:I73" si="4">H56*5</f>
        <v>1155000</v>
      </c>
      <c r="J56" s="219">
        <f t="shared" si="1"/>
        <v>231000</v>
      </c>
    </row>
    <row r="57" spans="2:10" ht="34" x14ac:dyDescent="0.2">
      <c r="B57" s="178" t="s">
        <v>346</v>
      </c>
      <c r="C57" s="180" t="s">
        <v>70</v>
      </c>
      <c r="D57" s="257"/>
      <c r="E57" s="258"/>
      <c r="F57" s="258"/>
      <c r="G57" s="184">
        <f>16*4*5</f>
        <v>320</v>
      </c>
      <c r="H57" s="182">
        <f>1000*(G57/5)</f>
        <v>64000</v>
      </c>
      <c r="I57" s="218">
        <f t="shared" si="4"/>
        <v>320000</v>
      </c>
      <c r="J57" s="220">
        <f t="shared" si="1"/>
        <v>64000</v>
      </c>
    </row>
    <row r="58" spans="2:10" ht="34" x14ac:dyDescent="0.2">
      <c r="B58" s="178" t="s">
        <v>347</v>
      </c>
      <c r="C58" s="180" t="s">
        <v>70</v>
      </c>
      <c r="D58" s="257"/>
      <c r="E58" s="258"/>
      <c r="F58" s="183"/>
      <c r="G58" s="184">
        <f>231*4*5</f>
        <v>4620</v>
      </c>
      <c r="H58" s="182">
        <f>100*(G58/5)</f>
        <v>92400</v>
      </c>
      <c r="I58" s="218">
        <f t="shared" si="4"/>
        <v>462000</v>
      </c>
      <c r="J58" s="220">
        <f t="shared" si="1"/>
        <v>92400</v>
      </c>
    </row>
    <row r="59" spans="2:10" ht="34" x14ac:dyDescent="0.2">
      <c r="B59" s="178" t="s">
        <v>348</v>
      </c>
      <c r="C59" s="180" t="s">
        <v>70</v>
      </c>
      <c r="D59" s="257"/>
      <c r="E59" s="258"/>
      <c r="F59" s="258">
        <f>358164*1%</f>
        <v>3581.64</v>
      </c>
      <c r="G59" s="184"/>
      <c r="H59" s="182">
        <f>100*(F59/5)</f>
        <v>71632.800000000003</v>
      </c>
      <c r="I59" s="218">
        <f t="shared" si="4"/>
        <v>358164</v>
      </c>
      <c r="J59" s="220">
        <f t="shared" si="1"/>
        <v>71632.800000000003</v>
      </c>
    </row>
    <row r="60" spans="2:10" ht="51" x14ac:dyDescent="0.2">
      <c r="B60" s="178" t="s">
        <v>349</v>
      </c>
      <c r="C60" s="180" t="s">
        <v>70</v>
      </c>
      <c r="D60" s="257"/>
      <c r="E60" s="258"/>
      <c r="F60" s="258"/>
      <c r="G60" s="184">
        <f>1*231*4</f>
        <v>924</v>
      </c>
      <c r="H60" s="182">
        <f>500*(G60/5)</f>
        <v>92400</v>
      </c>
      <c r="I60" s="218">
        <f t="shared" si="4"/>
        <v>462000</v>
      </c>
      <c r="J60" s="220">
        <f t="shared" si="1"/>
        <v>92400</v>
      </c>
    </row>
    <row r="61" spans="2:10" ht="51" x14ac:dyDescent="0.2">
      <c r="B61" s="178" t="s">
        <v>350</v>
      </c>
      <c r="C61" s="180" t="s">
        <v>70</v>
      </c>
      <c r="D61" s="257"/>
      <c r="E61" s="258"/>
      <c r="F61" s="258"/>
      <c r="G61" s="184">
        <f>231*15*5</f>
        <v>17325</v>
      </c>
      <c r="H61" s="182">
        <f>50*(G61/5)</f>
        <v>173250</v>
      </c>
      <c r="I61" s="244">
        <f t="shared" si="4"/>
        <v>866250</v>
      </c>
      <c r="J61" s="220">
        <f t="shared" si="1"/>
        <v>173250</v>
      </c>
    </row>
    <row r="62" spans="2:10" ht="34" x14ac:dyDescent="0.2">
      <c r="B62" s="178" t="s">
        <v>162</v>
      </c>
      <c r="C62" s="180" t="s">
        <v>70</v>
      </c>
      <c r="D62" s="257"/>
      <c r="E62" s="258"/>
      <c r="F62" s="258"/>
      <c r="G62" s="184">
        <f>231*15*2</f>
        <v>6930</v>
      </c>
      <c r="H62" s="182">
        <f>100*(G62/5)</f>
        <v>138600</v>
      </c>
      <c r="I62" s="244">
        <f t="shared" si="4"/>
        <v>693000</v>
      </c>
      <c r="J62" s="220">
        <f t="shared" si="1"/>
        <v>138600</v>
      </c>
    </row>
    <row r="63" spans="2:10" ht="34" x14ac:dyDescent="0.2">
      <c r="B63" s="178" t="s">
        <v>351</v>
      </c>
      <c r="C63" s="180" t="s">
        <v>317</v>
      </c>
      <c r="D63" s="257"/>
      <c r="E63" s="258"/>
      <c r="F63" s="258"/>
      <c r="G63" s="184">
        <f>1*2*16</f>
        <v>32</v>
      </c>
      <c r="H63" s="182">
        <f>5000*(G63/5)</f>
        <v>32000</v>
      </c>
      <c r="I63" s="244">
        <f t="shared" si="4"/>
        <v>160000</v>
      </c>
      <c r="J63" s="220">
        <f t="shared" si="1"/>
        <v>32000</v>
      </c>
    </row>
    <row r="64" spans="2:10" ht="51" x14ac:dyDescent="0.2">
      <c r="B64" s="178" t="s">
        <v>352</v>
      </c>
      <c r="C64" s="180" t="s">
        <v>317</v>
      </c>
      <c r="D64" s="257"/>
      <c r="E64" s="258"/>
      <c r="F64" s="258"/>
      <c r="G64" s="184">
        <f>2*12*16</f>
        <v>384</v>
      </c>
      <c r="H64" s="182">
        <f>2000*(G64/5)</f>
        <v>153600</v>
      </c>
      <c r="I64" s="218">
        <f t="shared" si="4"/>
        <v>768000</v>
      </c>
      <c r="J64" s="220">
        <f t="shared" si="1"/>
        <v>153600</v>
      </c>
    </row>
    <row r="65" spans="2:10" ht="34" x14ac:dyDescent="0.2">
      <c r="B65" s="178" t="s">
        <v>353</v>
      </c>
      <c r="C65" s="180" t="s">
        <v>317</v>
      </c>
      <c r="D65" s="257"/>
      <c r="E65" s="258"/>
      <c r="F65" s="258"/>
      <c r="G65" s="184">
        <v>5</v>
      </c>
      <c r="H65" s="182">
        <f>50000*(G65/5)</f>
        <v>50000</v>
      </c>
      <c r="I65" s="218">
        <f t="shared" si="4"/>
        <v>250000</v>
      </c>
      <c r="J65" s="220">
        <f t="shared" si="1"/>
        <v>50000</v>
      </c>
    </row>
    <row r="66" spans="2:10" ht="51" x14ac:dyDescent="0.2">
      <c r="B66" s="178" t="s">
        <v>354</v>
      </c>
      <c r="C66" s="180" t="s">
        <v>317</v>
      </c>
      <c r="D66" s="257"/>
      <c r="E66" s="258"/>
      <c r="F66" s="258"/>
      <c r="G66" s="184">
        <f>10214377.5027885*2%*5*5%</f>
        <v>51071.887513942507</v>
      </c>
      <c r="H66" s="182">
        <f>50*(G66/5)</f>
        <v>510718.8751394251</v>
      </c>
      <c r="I66" s="218">
        <f t="shared" si="4"/>
        <v>2553594.3756971257</v>
      </c>
      <c r="J66" s="220">
        <f t="shared" si="1"/>
        <v>510718.87513942516</v>
      </c>
    </row>
    <row r="67" spans="2:10" ht="34" x14ac:dyDescent="0.2">
      <c r="B67" s="178" t="s">
        <v>355</v>
      </c>
      <c r="C67" s="180" t="s">
        <v>317</v>
      </c>
      <c r="D67" s="257"/>
      <c r="E67" s="258"/>
      <c r="F67" s="258"/>
      <c r="G67" s="184">
        <f>10214377.5027885*2%*5*5%</f>
        <v>51071.887513942507</v>
      </c>
      <c r="H67" s="182">
        <f>10*(G67/5)</f>
        <v>102143.77502788501</v>
      </c>
      <c r="I67" s="218">
        <f t="shared" si="4"/>
        <v>510718.87513942504</v>
      </c>
      <c r="J67" s="220">
        <f t="shared" si="1"/>
        <v>102143.77502788501</v>
      </c>
    </row>
    <row r="68" spans="2:10" ht="34" x14ac:dyDescent="0.2">
      <c r="B68" s="178" t="s">
        <v>356</v>
      </c>
      <c r="C68" s="180" t="s">
        <v>317</v>
      </c>
      <c r="D68" s="257"/>
      <c r="E68" s="258"/>
      <c r="F68" s="258"/>
      <c r="G68" s="184">
        <f>10214390.4633297*1%*10%</f>
        <v>10214.390463329701</v>
      </c>
      <c r="H68" s="182">
        <f>60*(G68/5)</f>
        <v>122572.68555995642</v>
      </c>
      <c r="I68" s="218">
        <f t="shared" si="4"/>
        <v>612863.42779978202</v>
      </c>
      <c r="J68" s="220">
        <f t="shared" si="1"/>
        <v>122572.6855599564</v>
      </c>
    </row>
    <row r="69" spans="2:10" ht="17" x14ac:dyDescent="0.2">
      <c r="B69" s="178" t="s">
        <v>357</v>
      </c>
      <c r="C69" s="180" t="s">
        <v>317</v>
      </c>
      <c r="D69" s="257"/>
      <c r="E69" s="258"/>
      <c r="F69" s="258"/>
      <c r="G69" s="184">
        <f>231*15</f>
        <v>3465</v>
      </c>
      <c r="H69" s="182">
        <f>100*(G69/5)</f>
        <v>69300</v>
      </c>
      <c r="I69" s="218">
        <f t="shared" si="4"/>
        <v>346500</v>
      </c>
      <c r="J69" s="220">
        <f t="shared" si="1"/>
        <v>69300</v>
      </c>
    </row>
    <row r="70" spans="2:10" ht="34" x14ac:dyDescent="0.2">
      <c r="B70" s="178" t="s">
        <v>174</v>
      </c>
      <c r="C70" s="180" t="s">
        <v>317</v>
      </c>
      <c r="D70" s="257">
        <f>ROUND(3723828.2361*2%,0)</f>
        <v>74477</v>
      </c>
      <c r="E70" s="259"/>
      <c r="F70" s="259"/>
      <c r="G70" s="260">
        <f>11042179.2411326*2%</f>
        <v>220843.58482265202</v>
      </c>
      <c r="H70" s="182">
        <f>2*((G70+D70)/5)</f>
        <v>118128.23392906082</v>
      </c>
      <c r="I70" s="218">
        <f t="shared" si="4"/>
        <v>590641.16964530409</v>
      </c>
      <c r="J70" s="220">
        <f t="shared" si="1"/>
        <v>118128.23392906082</v>
      </c>
    </row>
    <row r="71" spans="2:10" ht="34" x14ac:dyDescent="0.2">
      <c r="B71" s="178" t="s">
        <v>358</v>
      </c>
      <c r="C71" s="180" t="s">
        <v>317</v>
      </c>
      <c r="D71" s="3"/>
      <c r="E71" s="259"/>
      <c r="F71" s="259"/>
      <c r="G71" s="260">
        <f>2320998.08749509*5%</f>
        <v>116049.90437475451</v>
      </c>
      <c r="H71" s="182">
        <f>50*((G71+D71)/5)</f>
        <v>1160499.0437475452</v>
      </c>
      <c r="I71" s="218">
        <f t="shared" si="4"/>
        <v>5802495.2187377261</v>
      </c>
      <c r="J71" s="220">
        <f t="shared" si="1"/>
        <v>1160499.0437475452</v>
      </c>
    </row>
    <row r="72" spans="2:10" ht="34" x14ac:dyDescent="0.2">
      <c r="B72" s="178" t="s">
        <v>183</v>
      </c>
      <c r="C72" s="185" t="s">
        <v>324</v>
      </c>
      <c r="D72" s="3"/>
      <c r="E72" s="259"/>
      <c r="F72" s="259"/>
      <c r="G72" s="260">
        <f>10214396.9436003*2%*5*10%</f>
        <v>102143.96943600301</v>
      </c>
      <c r="H72" s="182">
        <f>50*(G72/5)</f>
        <v>1021439.6943600301</v>
      </c>
      <c r="I72" s="218">
        <f t="shared" si="4"/>
        <v>5107198.4718001503</v>
      </c>
      <c r="J72" s="220">
        <f t="shared" si="1"/>
        <v>1021439.6943600301</v>
      </c>
    </row>
    <row r="73" spans="2:10" ht="52" thickBot="1" x14ac:dyDescent="0.25">
      <c r="B73" s="178" t="s">
        <v>188</v>
      </c>
      <c r="C73" s="185" t="s">
        <v>324</v>
      </c>
      <c r="D73" s="3"/>
      <c r="E73" s="259">
        <v>48262.829350174005</v>
      </c>
      <c r="F73" s="259"/>
      <c r="G73" s="260"/>
      <c r="H73" s="182">
        <f>50*(E73/5)</f>
        <v>482628.29350174009</v>
      </c>
      <c r="I73" s="244">
        <f t="shared" si="4"/>
        <v>2413141.4675087007</v>
      </c>
      <c r="J73" s="227">
        <f t="shared" si="1"/>
        <v>482628.29350174015</v>
      </c>
    </row>
    <row r="74" spans="2:10" ht="17" thickBot="1" x14ac:dyDescent="0.25">
      <c r="B74" s="228" t="s">
        <v>328</v>
      </c>
      <c r="C74" s="229"/>
      <c r="D74" s="230"/>
      <c r="E74" s="231"/>
      <c r="F74" s="231"/>
      <c r="G74" s="232"/>
      <c r="H74" s="233">
        <f>SUM(H56:H73)</f>
        <v>4686313.4012656426</v>
      </c>
      <c r="I74" s="234">
        <f>SUM(I56:I73)</f>
        <v>23431567.006328214</v>
      </c>
      <c r="J74" s="235">
        <f t="shared" si="1"/>
        <v>4686313.4012656426</v>
      </c>
    </row>
    <row r="75" spans="2:10" ht="17" thickBot="1" x14ac:dyDescent="0.25">
      <c r="B75" s="236" t="s">
        <v>359</v>
      </c>
      <c r="C75" s="237"/>
      <c r="D75" s="238"/>
      <c r="E75" s="239"/>
      <c r="F75" s="239"/>
      <c r="G75" s="240"/>
      <c r="H75" s="241"/>
      <c r="I75" s="242"/>
      <c r="J75" s="243"/>
    </row>
    <row r="76" spans="2:10" ht="34" x14ac:dyDescent="0.2">
      <c r="B76" s="178" t="s">
        <v>236</v>
      </c>
      <c r="C76" s="221" t="s">
        <v>70</v>
      </c>
      <c r="D76" s="221"/>
      <c r="E76" s="224">
        <f>ROUND((12684610*50%)*5,0)</f>
        <v>31711525</v>
      </c>
      <c r="F76" s="224"/>
      <c r="G76" s="224"/>
      <c r="H76" s="182">
        <f>1*(E76/5)</f>
        <v>6342305</v>
      </c>
      <c r="I76" s="244">
        <f>H76*5</f>
        <v>31711525</v>
      </c>
      <c r="J76" s="219">
        <f t="shared" ref="J76:J89" si="5">I76/5</f>
        <v>6342305</v>
      </c>
    </row>
    <row r="77" spans="2:10" ht="34" x14ac:dyDescent="0.2">
      <c r="B77" s="179" t="s">
        <v>360</v>
      </c>
      <c r="C77" s="221" t="s">
        <v>70</v>
      </c>
      <c r="D77" s="221"/>
      <c r="E77" s="224">
        <f>ROUND((3356536*1%)*5,0)</f>
        <v>167827</v>
      </c>
      <c r="F77" s="224"/>
      <c r="G77" s="224"/>
      <c r="H77" s="182">
        <f>90*(E77/5)</f>
        <v>3020886</v>
      </c>
      <c r="I77" s="244">
        <f>H77*5</f>
        <v>15104430</v>
      </c>
      <c r="J77" s="220">
        <f t="shared" si="5"/>
        <v>3020886</v>
      </c>
    </row>
    <row r="78" spans="2:10" ht="51" x14ac:dyDescent="0.2">
      <c r="B78" s="179" t="s">
        <v>361</v>
      </c>
      <c r="C78" s="221" t="s">
        <v>70</v>
      </c>
      <c r="D78" s="221"/>
      <c r="E78" s="224">
        <f>ROUND(((356536*40%)*80%)*5,0)</f>
        <v>570458</v>
      </c>
      <c r="F78" s="224"/>
      <c r="G78" s="224"/>
      <c r="H78" s="182">
        <f>150*(E78/5)</f>
        <v>17113740</v>
      </c>
      <c r="I78" s="244">
        <f t="shared" ref="I78:I87" si="6">H78*5</f>
        <v>85568700</v>
      </c>
      <c r="J78" s="220">
        <f t="shared" si="5"/>
        <v>17113740</v>
      </c>
    </row>
    <row r="79" spans="2:10" ht="51" x14ac:dyDescent="0.2">
      <c r="B79" s="179" t="s">
        <v>362</v>
      </c>
      <c r="C79" s="221" t="s">
        <v>70</v>
      </c>
      <c r="D79" s="221"/>
      <c r="E79" s="224">
        <f>ROUND(((356536*60%)*80%)*5,0)</f>
        <v>855686</v>
      </c>
      <c r="F79" s="224"/>
      <c r="G79" s="224"/>
      <c r="H79" s="182">
        <f>28.09*(E79/5)</f>
        <v>4807243.9479999999</v>
      </c>
      <c r="I79" s="244">
        <f t="shared" si="6"/>
        <v>24036219.739999998</v>
      </c>
      <c r="J79" s="220">
        <f t="shared" si="5"/>
        <v>4807243.9479999999</v>
      </c>
    </row>
    <row r="80" spans="2:10" ht="47.5" customHeight="1" x14ac:dyDescent="0.2">
      <c r="B80" s="179" t="s">
        <v>363</v>
      </c>
      <c r="C80" s="221" t="s">
        <v>70</v>
      </c>
      <c r="D80" s="221"/>
      <c r="E80" s="224"/>
      <c r="F80" s="224"/>
      <c r="G80" s="224">
        <f>16*5</f>
        <v>80</v>
      </c>
      <c r="H80" s="182">
        <f>5000*(G80/5)</f>
        <v>80000</v>
      </c>
      <c r="I80" s="244">
        <f t="shared" si="6"/>
        <v>400000</v>
      </c>
      <c r="J80" s="220">
        <f t="shared" si="5"/>
        <v>80000</v>
      </c>
    </row>
    <row r="81" spans="2:10" ht="49" customHeight="1" x14ac:dyDescent="0.2">
      <c r="B81" s="179" t="s">
        <v>210</v>
      </c>
      <c r="C81" s="221" t="s">
        <v>70</v>
      </c>
      <c r="D81" s="221"/>
      <c r="E81" s="224"/>
      <c r="F81" s="224"/>
      <c r="G81" s="224">
        <f>231*5</f>
        <v>1155</v>
      </c>
      <c r="H81" s="182">
        <f>3000*(G81/5)</f>
        <v>693000</v>
      </c>
      <c r="I81" s="244">
        <f t="shared" si="6"/>
        <v>3465000</v>
      </c>
      <c r="J81" s="220">
        <f t="shared" si="5"/>
        <v>693000</v>
      </c>
    </row>
    <row r="82" spans="2:10" ht="35.5" customHeight="1" x14ac:dyDescent="0.2">
      <c r="B82" s="179" t="s">
        <v>364</v>
      </c>
      <c r="C82" s="221" t="s">
        <v>70</v>
      </c>
      <c r="D82" s="261"/>
      <c r="E82" s="262"/>
      <c r="F82" s="262"/>
      <c r="G82" s="262">
        <f>832*5</f>
        <v>4160</v>
      </c>
      <c r="H82" s="182">
        <f>200*(G82/5)</f>
        <v>166400</v>
      </c>
      <c r="I82" s="244">
        <f t="shared" si="6"/>
        <v>832000</v>
      </c>
      <c r="J82" s="220">
        <f t="shared" si="5"/>
        <v>166400</v>
      </c>
    </row>
    <row r="83" spans="2:10" ht="49.5" customHeight="1" x14ac:dyDescent="0.2">
      <c r="B83" s="179" t="s">
        <v>365</v>
      </c>
      <c r="C83" s="221" t="s">
        <v>70</v>
      </c>
      <c r="D83" s="261"/>
      <c r="E83" s="262"/>
      <c r="F83" s="262"/>
      <c r="G83" s="262">
        <f>231*30%*2</f>
        <v>138.6</v>
      </c>
      <c r="H83" s="182">
        <f>15000*(G83/5)</f>
        <v>415800</v>
      </c>
      <c r="I83" s="244">
        <f t="shared" si="6"/>
        <v>2079000</v>
      </c>
      <c r="J83" s="220">
        <f t="shared" si="5"/>
        <v>415800</v>
      </c>
    </row>
    <row r="84" spans="2:10" ht="77.5" customHeight="1" x14ac:dyDescent="0.2">
      <c r="B84" s="179" t="s">
        <v>366</v>
      </c>
      <c r="C84" s="263" t="s">
        <v>317</v>
      </c>
      <c r="D84" s="260"/>
      <c r="E84" s="264"/>
      <c r="F84" s="264"/>
      <c r="G84" s="265">
        <f>231*5</f>
        <v>1155</v>
      </c>
      <c r="H84" s="182">
        <f>500*(G84/5)</f>
        <v>115500</v>
      </c>
      <c r="I84" s="244">
        <f t="shared" si="6"/>
        <v>577500</v>
      </c>
      <c r="J84" s="220">
        <f t="shared" si="5"/>
        <v>115500</v>
      </c>
    </row>
    <row r="85" spans="2:10" ht="112.5" customHeight="1" x14ac:dyDescent="0.2">
      <c r="B85" s="178" t="s">
        <v>367</v>
      </c>
      <c r="C85" s="263" t="s">
        <v>317</v>
      </c>
      <c r="D85" s="178"/>
      <c r="E85" s="264"/>
      <c r="F85" s="264"/>
      <c r="G85" s="265">
        <f>231*5</f>
        <v>1155</v>
      </c>
      <c r="H85" s="182">
        <f>200*(G85/5)</f>
        <v>46200</v>
      </c>
      <c r="I85" s="244">
        <f t="shared" si="6"/>
        <v>231000</v>
      </c>
      <c r="J85" s="220">
        <f t="shared" si="5"/>
        <v>46200</v>
      </c>
    </row>
    <row r="86" spans="2:10" ht="56" customHeight="1" x14ac:dyDescent="0.2">
      <c r="B86" s="178" t="s">
        <v>368</v>
      </c>
      <c r="C86" s="185" t="s">
        <v>324</v>
      </c>
      <c r="D86" s="214"/>
      <c r="E86" s="217"/>
      <c r="F86" s="217"/>
      <c r="G86" s="217">
        <f>200*5</f>
        <v>1000</v>
      </c>
      <c r="H86" s="181">
        <f>500*(G86/5)</f>
        <v>100000</v>
      </c>
      <c r="I86" s="266">
        <f t="shared" si="6"/>
        <v>500000</v>
      </c>
      <c r="J86" s="220">
        <f t="shared" si="5"/>
        <v>100000</v>
      </c>
    </row>
    <row r="87" spans="2:10" ht="103" thickBot="1" x14ac:dyDescent="0.25">
      <c r="B87" s="178" t="s">
        <v>217</v>
      </c>
      <c r="C87" s="185" t="s">
        <v>324</v>
      </c>
      <c r="D87" s="214"/>
      <c r="E87" s="217"/>
      <c r="F87" s="217"/>
      <c r="G87" s="217">
        <f>15322</f>
        <v>15322</v>
      </c>
      <c r="H87" s="181">
        <f>500*(G87/5)</f>
        <v>1532200</v>
      </c>
      <c r="I87" s="267">
        <f t="shared" si="6"/>
        <v>7661000</v>
      </c>
      <c r="J87" s="227">
        <f t="shared" si="5"/>
        <v>1532200</v>
      </c>
    </row>
    <row r="88" spans="2:10" ht="17" thickBot="1" x14ac:dyDescent="0.25">
      <c r="B88" s="268" t="s">
        <v>328</v>
      </c>
      <c r="C88" s="269"/>
      <c r="D88" s="270"/>
      <c r="E88" s="271"/>
      <c r="F88" s="271"/>
      <c r="G88" s="272"/>
      <c r="H88" s="273">
        <f>SUM(H76:H87)</f>
        <v>34433274.947999999</v>
      </c>
      <c r="I88" s="274">
        <f>SUM(I76:I87)</f>
        <v>172166374.74000001</v>
      </c>
      <c r="J88" s="235">
        <f t="shared" si="5"/>
        <v>34433274.947999999</v>
      </c>
    </row>
    <row r="89" spans="2:10" ht="22" thickBot="1" x14ac:dyDescent="0.3">
      <c r="B89" s="275" t="s">
        <v>369</v>
      </c>
      <c r="C89" s="276"/>
      <c r="D89" s="277"/>
      <c r="E89" s="278"/>
      <c r="F89" s="278"/>
      <c r="G89" s="279"/>
      <c r="H89" s="280">
        <f>+H33+H54+H74+H88</f>
        <v>137028382.80823231</v>
      </c>
      <c r="I89" s="281">
        <f>+I33+I54+I74+I88</f>
        <v>685141914.04116154</v>
      </c>
      <c r="J89" s="282">
        <f t="shared" si="5"/>
        <v>137028382.80823231</v>
      </c>
    </row>
  </sheetData>
  <mergeCells count="3">
    <mergeCell ref="B8:B9"/>
    <mergeCell ref="C8:C9"/>
    <mergeCell ref="D8:G8"/>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Roadmap</vt:lpstr>
      <vt:lpstr>Budget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Carr</dc:creator>
  <cp:keywords/>
  <dc:description/>
  <cp:lastModifiedBy>Sarah Carr</cp:lastModifiedBy>
  <cp:revision/>
  <dcterms:created xsi:type="dcterms:W3CDTF">2020-10-09T18:00:10Z</dcterms:created>
  <dcterms:modified xsi:type="dcterms:W3CDTF">2021-11-19T18:16:22Z</dcterms:modified>
  <cp:category/>
  <cp:contentStatus/>
</cp:coreProperties>
</file>